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1292" windowHeight="6252" activeTab="2"/>
  </bookViews>
  <sheets>
    <sheet name="costit f" sheetId="1" r:id="rId1"/>
    <sheet name="rideterminazione" sheetId="2" r:id="rId2"/>
    <sheet name="ripart f " sheetId="3" r:id="rId3"/>
    <sheet name="comparto" sheetId="4" r:id="rId4"/>
    <sheet name="costo fasce" sheetId="5" r:id="rId5"/>
    <sheet name="p.time" sheetId="6" r:id="rId6"/>
    <sheet name="peo" sheetId="7" r:id="rId7"/>
    <sheet name="vari" sheetId="8" r:id="rId8"/>
    <sheet name="tabellari" sheetId="9" r:id="rId9"/>
  </sheets>
  <definedNames>
    <definedName name="_xlnm.Print_Area" localSheetId="0">'costit f'!$A$1:$F$50</definedName>
    <definedName name="_xlnm.Print_Area" localSheetId="1">'rideterminazione'!$A$1:$G$49</definedName>
    <definedName name="_xlnm.Print_Area" localSheetId="2">'ripart f '!$A$1:$F$34</definedName>
  </definedNames>
  <calcPr fullCalcOnLoad="1"/>
</workbook>
</file>

<file path=xl/sharedStrings.xml><?xml version="1.0" encoding="utf-8"?>
<sst xmlns="http://schemas.openxmlformats.org/spreadsheetml/2006/main" count="523" uniqueCount="232">
  <si>
    <t>1,4,99</t>
  </si>
  <si>
    <t>14,9,00</t>
  </si>
  <si>
    <t>VARIABILE</t>
  </si>
  <si>
    <t>Art,17,5</t>
  </si>
  <si>
    <t>Euro</t>
  </si>
  <si>
    <t>Art,31 comma 2 CCNL 02/05</t>
  </si>
  <si>
    <t xml:space="preserve">F  I  S  S  A                </t>
  </si>
  <si>
    <t>Art,15,5</t>
  </si>
  <si>
    <t>1,1% m.s. 1999</t>
  </si>
  <si>
    <t>Totale Parte Fissa</t>
  </si>
  <si>
    <t>Art, 31 comma 3 CCNL 02/05</t>
  </si>
  <si>
    <t>Art,15,1m</t>
  </si>
  <si>
    <t>risparmi straordinario art,14</t>
  </si>
  <si>
    <t>Art,15,2</t>
  </si>
  <si>
    <t>attivazione nuovi servizi</t>
  </si>
  <si>
    <t>potenziamento servizi esistenti</t>
  </si>
  <si>
    <t>recupero produttività non liquidata</t>
  </si>
  <si>
    <t>Art,54</t>
  </si>
  <si>
    <t>2002/2005</t>
  </si>
  <si>
    <t>Totale Parte Variabile</t>
  </si>
  <si>
    <t>TOTALE FONDO PRODUTTIVITA'</t>
  </si>
  <si>
    <t>Art,45,2</t>
  </si>
  <si>
    <t>Fondo per lo straordinario</t>
  </si>
  <si>
    <t>min. 1% spesa comp.Personalexformazione</t>
  </si>
  <si>
    <t>RIPARTIZIONE DEL FONDO ART.17 CCNL 01.04.99</t>
  </si>
  <si>
    <t xml:space="preserve">Art17, comma 2,lett.b)  </t>
  </si>
  <si>
    <t>Progressioni Economiche Orizzontali</t>
  </si>
  <si>
    <t>TOTALE</t>
  </si>
  <si>
    <t>Totale P.E.O.</t>
  </si>
  <si>
    <t>Art, 17 comma 2 CCNL 01.04.99</t>
  </si>
  <si>
    <t>a</t>
  </si>
  <si>
    <t>d</t>
  </si>
  <si>
    <t>turno</t>
  </si>
  <si>
    <t>rischio</t>
  </si>
  <si>
    <t>maneggio valori</t>
  </si>
  <si>
    <t>e</t>
  </si>
  <si>
    <t>f</t>
  </si>
  <si>
    <t>i</t>
  </si>
  <si>
    <t>Indennità di Comparto (art.33 CCNL 02/05)</t>
  </si>
  <si>
    <t>Indennità di comparto</t>
  </si>
  <si>
    <t>ici</t>
  </si>
  <si>
    <t>merloni</t>
  </si>
  <si>
    <t>sponsorizzazioni</t>
  </si>
  <si>
    <t>convenzioni e contributi</t>
  </si>
  <si>
    <t>risparmi dirigenza</t>
  </si>
  <si>
    <t>risorse personale trasferito</t>
  </si>
  <si>
    <t>Art.15,1,d</t>
  </si>
  <si>
    <t>Art,15,1,e</t>
  </si>
  <si>
    <t>Art.15,1,k</t>
  </si>
  <si>
    <t>Enti con Dirigenza Posiz. Organizz. (posiz.+risultato)</t>
  </si>
  <si>
    <t>lett. c</t>
  </si>
  <si>
    <t>FISSO</t>
  </si>
  <si>
    <t xml:space="preserve">Totale Parte Fissa </t>
  </si>
  <si>
    <t>orario notturno etc</t>
  </si>
  <si>
    <t>g</t>
  </si>
  <si>
    <t>Art.15,5</t>
  </si>
  <si>
    <t>PRODUTTIVITA' COLLETTIVA</t>
  </si>
  <si>
    <t>PROGRESSIONE ECONOMICA ORIZZONTALE</t>
  </si>
  <si>
    <t>FOGLIO DI CALCOLO</t>
  </si>
  <si>
    <t xml:space="preserve">N° </t>
  </si>
  <si>
    <t xml:space="preserve"> costo </t>
  </si>
  <si>
    <t xml:space="preserve"> costo progressioni </t>
  </si>
  <si>
    <t>progressioni</t>
  </si>
  <si>
    <t xml:space="preserve"> progressione </t>
  </si>
  <si>
    <t xml:space="preserve"> Euro </t>
  </si>
  <si>
    <t>da</t>
  </si>
  <si>
    <t>A1</t>
  </si>
  <si>
    <t>A2</t>
  </si>
  <si>
    <t>A3</t>
  </si>
  <si>
    <t>A4</t>
  </si>
  <si>
    <t>A5</t>
  </si>
  <si>
    <t>totale progresione categoria A</t>
  </si>
  <si>
    <t>B1</t>
  </si>
  <si>
    <t>B2</t>
  </si>
  <si>
    <t>B3</t>
  </si>
  <si>
    <t>B4</t>
  </si>
  <si>
    <t>B5</t>
  </si>
  <si>
    <t>B6</t>
  </si>
  <si>
    <t>B7</t>
  </si>
  <si>
    <t>totale progresione categoria B</t>
  </si>
  <si>
    <t>C1</t>
  </si>
  <si>
    <t>C2</t>
  </si>
  <si>
    <t>C3</t>
  </si>
  <si>
    <t>C4</t>
  </si>
  <si>
    <t>C5</t>
  </si>
  <si>
    <t>totale progresione categoria C</t>
  </si>
  <si>
    <t>D1</t>
  </si>
  <si>
    <t>D2</t>
  </si>
  <si>
    <t>D3</t>
  </si>
  <si>
    <t>D4</t>
  </si>
  <si>
    <t>D5</t>
  </si>
  <si>
    <t>D6</t>
  </si>
  <si>
    <t>totale progresione categoria D</t>
  </si>
  <si>
    <t>totale generale progressione economica</t>
  </si>
  <si>
    <t>incremento tabellare</t>
  </si>
  <si>
    <t>costo 2001</t>
  </si>
  <si>
    <t>costo 2003</t>
  </si>
  <si>
    <t>n.</t>
  </si>
  <si>
    <t>euro</t>
  </si>
  <si>
    <t>Art,32,7</t>
  </si>
  <si>
    <t>incrementi</t>
  </si>
  <si>
    <t>art.52 lettera b</t>
  </si>
  <si>
    <t>tabellare</t>
  </si>
  <si>
    <t>IIS</t>
  </si>
  <si>
    <t>tab+IIS</t>
  </si>
  <si>
    <t>04 05</t>
  </si>
  <si>
    <t>Art.4, 2,a</t>
  </si>
  <si>
    <t>0,3% ms 03 (pers 25/32% entrate correnti)</t>
  </si>
  <si>
    <t>Art.4, 2,b</t>
  </si>
  <si>
    <t>0,3/0,7% ms 03 (pers - 25% entrate corr)</t>
  </si>
  <si>
    <t>responsabilità (min.0,00 - max. 2500,00)</t>
  </si>
  <si>
    <t>differenza</t>
  </si>
  <si>
    <t>02 03</t>
  </si>
  <si>
    <t>cat</t>
  </si>
  <si>
    <t>p.e.o.</t>
  </si>
  <si>
    <t>costo 2005/2006</t>
  </si>
  <si>
    <t>A</t>
  </si>
  <si>
    <t>B</t>
  </si>
  <si>
    <t>C</t>
  </si>
  <si>
    <t>D</t>
  </si>
  <si>
    <t>CAT.</t>
  </si>
  <si>
    <t>ANNUO</t>
  </si>
  <si>
    <t>N.</t>
  </si>
  <si>
    <t xml:space="preserve">          dalla fascia                  alla fascia</t>
  </si>
  <si>
    <t xml:space="preserve"> nella fascia </t>
  </si>
  <si>
    <t>accantonam. 0,20% m.s. 2001</t>
  </si>
  <si>
    <t>09,05,06</t>
  </si>
  <si>
    <t>tot mens</t>
  </si>
  <si>
    <t>dal f.do prod</t>
  </si>
  <si>
    <t>cat,</t>
  </si>
  <si>
    <t>r.i.a.</t>
  </si>
  <si>
    <t>totale</t>
  </si>
  <si>
    <t>%p,time</t>
  </si>
  <si>
    <t>risparmio</t>
  </si>
  <si>
    <t xml:space="preserve"> C1 </t>
  </si>
  <si>
    <t xml:space="preserve"> B1 </t>
  </si>
  <si>
    <t xml:space="preserve"> A1 </t>
  </si>
  <si>
    <t>ex 7^</t>
  </si>
  <si>
    <t>ex 8^</t>
  </si>
  <si>
    <t>ex 4^</t>
  </si>
  <si>
    <t>ex 5^</t>
  </si>
  <si>
    <t>CALCOLO RISPARMIO PART-TIME</t>
  </si>
  <si>
    <t>tabell + iis</t>
  </si>
  <si>
    <t>Importo ad integrazione fondo produttività</t>
  </si>
  <si>
    <t>Totale Parte Variabile (senza e con produtt collettiva)</t>
  </si>
  <si>
    <t xml:space="preserve">COSTITUZIONE FONDO ART.31 CCNL 2002 / 2005 </t>
  </si>
  <si>
    <t>reperibilità</t>
  </si>
  <si>
    <t>art.15,1 etc</t>
  </si>
  <si>
    <t>fondo produttività 98</t>
  </si>
  <si>
    <t>art.15, 1, f</t>
  </si>
  <si>
    <t>art.15, 1, g</t>
  </si>
  <si>
    <t>LED 98</t>
  </si>
  <si>
    <t>art.15, 1, h</t>
  </si>
  <si>
    <t>art.15, 1, i</t>
  </si>
  <si>
    <t>risp.discip.art.2, c.3, dlgs 165/01</t>
  </si>
  <si>
    <t>indennità di funzione (art.34, c.4, CCNL 6.7.95)</t>
  </si>
  <si>
    <t>art.15, 1, j</t>
  </si>
  <si>
    <t>art.15, 1, l</t>
  </si>
  <si>
    <t>art.14, 4</t>
  </si>
  <si>
    <t>riduzione 3% straordinario</t>
  </si>
  <si>
    <t>art.4, 1</t>
  </si>
  <si>
    <t>art.32, 1</t>
  </si>
  <si>
    <t>art.32, 2</t>
  </si>
  <si>
    <t>art.4, 2</t>
  </si>
  <si>
    <t>RIA pesonale cessato dall'1.1.2000</t>
  </si>
  <si>
    <t>art.32, 7</t>
  </si>
  <si>
    <t>0,20% m.s. 01 (dich cong 1 CCNL 9.5.06)</t>
  </si>
  <si>
    <t>0,52 m.s. 1997</t>
  </si>
  <si>
    <t>0,62 m.s. 2001</t>
  </si>
  <si>
    <t>0,50 m.s. 2001</t>
  </si>
  <si>
    <t>0,5% m.s. 03 (pers-39% entrate correnti)</t>
  </si>
  <si>
    <t>art.1, 3 ccnl 5.10.01 diff costo fasce peo 01</t>
  </si>
  <si>
    <t>d.c.14,a</t>
  </si>
  <si>
    <t>d.c.14,b</t>
  </si>
  <si>
    <t>d.c. 4</t>
  </si>
  <si>
    <t>diff costo fasce peo 06</t>
  </si>
  <si>
    <t>art.8, 2</t>
  </si>
  <si>
    <t>0,6% m.s. 05 (pers-39% entrate correnti)</t>
  </si>
  <si>
    <t>Art.15,1,c</t>
  </si>
  <si>
    <t>risp gest art.32 CCNL 1995 art.3 CCNL 1996</t>
  </si>
  <si>
    <t>spons., convenz., contrib. Art,4,4 ccnl 2001</t>
  </si>
  <si>
    <t>20% risp part time art.1, 57 L.662/96</t>
  </si>
  <si>
    <t>art.4, 3 ccnl 5.10.01 ICI, MERLONI, ETC</t>
  </si>
  <si>
    <t>processi di riorganizzazione</t>
  </si>
  <si>
    <t>Art.8, 3, a</t>
  </si>
  <si>
    <t>Art.8, 3, b</t>
  </si>
  <si>
    <t>Art.13</t>
  </si>
  <si>
    <t>TOTALE COSTITUZIONE FONDO PRODUTTIVITA'</t>
  </si>
  <si>
    <t>diff costo fasce peo 07</t>
  </si>
  <si>
    <t>0,3% ms 05 (pers 25/32% entrate correnti)</t>
  </si>
  <si>
    <t>0,3/0,9% ms 05 (pers - 25% entrate corr)</t>
  </si>
  <si>
    <t>06 07</t>
  </si>
  <si>
    <t>costo 2007</t>
  </si>
  <si>
    <t>piani straordinari di attività</t>
  </si>
  <si>
    <t>CALCOLO COSTO INDENNITA' DI COMPARTO SUL FONDO</t>
  </si>
  <si>
    <t>incentivazione messi notificatori</t>
  </si>
  <si>
    <t>La progressione economica orizzontale da C1 a C2  prevista per n. 1 candidato, ha decorrenza dal 1/04/2008</t>
  </si>
  <si>
    <t>F556</t>
  </si>
  <si>
    <t>altre risorse</t>
  </si>
  <si>
    <t>F477</t>
  </si>
  <si>
    <t>Art. 4 c.2</t>
  </si>
  <si>
    <t>1,5 ms 07 CCNL 2008-2009</t>
  </si>
  <si>
    <t>diff costo fasce peo 09</t>
  </si>
  <si>
    <t>art.15, 5</t>
  </si>
  <si>
    <t>incr.dotaz.organ.</t>
  </si>
  <si>
    <t>1,2% m.s. 1997</t>
  </si>
  <si>
    <t>eliminato 1.049,45</t>
  </si>
  <si>
    <t>Realizzazione piani strategici</t>
  </si>
  <si>
    <t>Contributo L. 244/2007 servizi demografici</t>
  </si>
  <si>
    <t>specifiche responsabilità</t>
  </si>
  <si>
    <t>F918</t>
  </si>
  <si>
    <t>F61G</t>
  </si>
  <si>
    <t>F62G</t>
  </si>
  <si>
    <t>F64G</t>
  </si>
  <si>
    <t>F63G</t>
  </si>
  <si>
    <t>F932</t>
  </si>
  <si>
    <t>F925</t>
  </si>
  <si>
    <t>F995</t>
  </si>
  <si>
    <t>Sganzerla Gianni</t>
  </si>
  <si>
    <t>Sghinolfi Antonio</t>
  </si>
  <si>
    <t>totale lavoro straordinario da liquidare</t>
  </si>
  <si>
    <t>censimenti ISTAT</t>
  </si>
  <si>
    <t>art.29, 5 ccnl 22.1.04 diff costo fasce peo 03</t>
  </si>
  <si>
    <t>ANNO 2016</t>
  </si>
  <si>
    <t>FONDO PER LA CONTRATTAZIONE DECENTRATA INTEGRATIVA
DEL PERSONALE NON DIRIGENTE 2016</t>
  </si>
  <si>
    <t>CONSUNTIVO
2015</t>
  </si>
  <si>
    <t>ASSESTAMENTO 
2016</t>
  </si>
  <si>
    <t>LED</t>
  </si>
  <si>
    <t>DECURTAZIONI DEL FONDO - PARTE FISSA</t>
  </si>
  <si>
    <t>ANNO 2017</t>
  </si>
  <si>
    <t>1999/2016</t>
  </si>
  <si>
    <t>disagio e pronta disponibilità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</si>
</sst>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_-[$€-2]\ * #,##0.00_-;\-[$€-2]\ * #,##0.00_-;_-[$€-2]\ * &quot;-&quot;??_-"/>
    <numFmt numFmtId="172" formatCode="[$-410]dddd\ d\ mmmm\ yyyy"/>
    <numFmt numFmtId="173" formatCode="d/m/yy;@"/>
    <numFmt numFmtId="174" formatCode="_-[$€-2]\ * #,##0.00_-;\-[$€-2]\ * #,##0.00_-;_-[$€-2]\ * &quot;-&quot;??_-;_-@_-"/>
    <numFmt numFmtId="175" formatCode="&quot;€&quot;\ #,##0.00"/>
    <numFmt numFmtId="176" formatCode="dd/mm/yy;@"/>
    <numFmt numFmtId="177" formatCode="_-* #,##0.00_-;\-* #,##0.00_-;_-* \-??_-;_-@_-"/>
    <numFmt numFmtId="178" formatCode="#,###"/>
    <numFmt numFmtId="179" formatCode="#,##0_);[Red]\(#,##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1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1" fontId="0" fillId="0" borderId="12" xfId="44" applyFill="1" applyBorder="1" applyAlignment="1">
      <alignment/>
    </xf>
    <xf numFmtId="0" fontId="0" fillId="0" borderId="15" xfId="0" applyFill="1" applyBorder="1" applyAlignment="1">
      <alignment/>
    </xf>
    <xf numFmtId="171" fontId="1" fillId="0" borderId="15" xfId="44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171" fontId="0" fillId="0" borderId="17" xfId="44" applyFont="1" applyFill="1" applyBorder="1" applyAlignment="1">
      <alignment/>
    </xf>
    <xf numFmtId="0" fontId="0" fillId="0" borderId="13" xfId="0" applyFill="1" applyBorder="1" applyAlignment="1">
      <alignment horizontal="center"/>
    </xf>
    <xf numFmtId="171" fontId="0" fillId="0" borderId="0" xfId="44" applyFont="1" applyFill="1" applyBorder="1" applyAlignment="1">
      <alignment/>
    </xf>
    <xf numFmtId="171" fontId="0" fillId="0" borderId="18" xfId="4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171" fontId="0" fillId="0" borderId="17" xfId="44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171" fontId="0" fillId="0" borderId="20" xfId="44" applyFill="1" applyBorder="1" applyAlignment="1">
      <alignment/>
    </xf>
    <xf numFmtId="0" fontId="0" fillId="0" borderId="21" xfId="0" applyFill="1" applyBorder="1" applyAlignment="1">
      <alignment horizontal="center"/>
    </xf>
    <xf numFmtId="171" fontId="1" fillId="0" borderId="22" xfId="44" applyFont="1" applyFill="1" applyBorder="1" applyAlignment="1">
      <alignment/>
    </xf>
    <xf numFmtId="0" fontId="0" fillId="0" borderId="23" xfId="0" applyFill="1" applyBorder="1" applyAlignment="1">
      <alignment/>
    </xf>
    <xf numFmtId="171" fontId="1" fillId="0" borderId="24" xfId="44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/>
    </xf>
    <xf numFmtId="171" fontId="2" fillId="0" borderId="18" xfId="44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41" fontId="10" fillId="0" borderId="13" xfId="0" applyNumberFormat="1" applyFont="1" applyBorder="1" applyAlignment="1">
      <alignment/>
    </xf>
    <xf numFmtId="44" fontId="12" fillId="0" borderId="13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0" fillId="1" borderId="0" xfId="0" applyFont="1" applyFill="1" applyBorder="1" applyAlignment="1">
      <alignment horizontal="center" vertical="center"/>
    </xf>
    <xf numFmtId="44" fontId="0" fillId="1" borderId="0" xfId="0" applyNumberFormat="1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1" fontId="0" fillId="1" borderId="0" xfId="0" applyNumberFormat="1" applyFill="1" applyBorder="1" applyAlignment="1">
      <alignment horizontal="center" vertical="center"/>
    </xf>
    <xf numFmtId="44" fontId="0" fillId="1" borderId="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1" fontId="0" fillId="1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0" fontId="0" fillId="1" borderId="0" xfId="0" applyFill="1" applyBorder="1" applyAlignment="1">
      <alignment horizontal="center"/>
    </xf>
    <xf numFmtId="44" fontId="0" fillId="1" borderId="0" xfId="0" applyNumberFormat="1" applyFill="1" applyBorder="1" applyAlignment="1">
      <alignment/>
    </xf>
    <xf numFmtId="0" fontId="0" fillId="1" borderId="0" xfId="0" applyFill="1" applyBorder="1" applyAlignment="1">
      <alignment/>
    </xf>
    <xf numFmtId="44" fontId="2" fillId="1" borderId="0" xfId="0" applyNumberFormat="1" applyFont="1" applyFill="1" applyBorder="1" applyAlignment="1">
      <alignment horizontal="center" vertical="center"/>
    </xf>
    <xf numFmtId="0" fontId="0" fillId="1" borderId="28" xfId="0" applyFill="1" applyBorder="1" applyAlignment="1">
      <alignment/>
    </xf>
    <xf numFmtId="0" fontId="0" fillId="1" borderId="29" xfId="0" applyFill="1" applyBorder="1" applyAlignment="1">
      <alignment horizontal="center"/>
    </xf>
    <xf numFmtId="0" fontId="0" fillId="1" borderId="29" xfId="0" applyFill="1" applyBorder="1" applyAlignment="1">
      <alignment/>
    </xf>
    <xf numFmtId="0" fontId="0" fillId="1" borderId="25" xfId="0" applyFill="1" applyBorder="1" applyAlignment="1">
      <alignment/>
    </xf>
    <xf numFmtId="0" fontId="0" fillId="1" borderId="30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31" xfId="0" applyFill="1" applyBorder="1" applyAlignment="1">
      <alignment/>
    </xf>
    <xf numFmtId="0" fontId="0" fillId="1" borderId="32" xfId="0" applyFill="1" applyBorder="1" applyAlignment="1">
      <alignment horizontal="center"/>
    </xf>
    <xf numFmtId="0" fontId="0" fillId="1" borderId="32" xfId="0" applyFill="1" applyBorder="1" applyAlignment="1">
      <alignment/>
    </xf>
    <xf numFmtId="0" fontId="0" fillId="1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44" fontId="0" fillId="0" borderId="21" xfId="0" applyNumberFormat="1" applyBorder="1" applyAlignment="1">
      <alignment/>
    </xf>
    <xf numFmtId="44" fontId="9" fillId="33" borderId="35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41" fontId="10" fillId="34" borderId="0" xfId="0" applyNumberFormat="1" applyFont="1" applyFill="1" applyBorder="1" applyAlignment="1">
      <alignment/>
    </xf>
    <xf numFmtId="44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1" fontId="10" fillId="34" borderId="0" xfId="0" applyNumberFormat="1" applyFont="1" applyFill="1" applyBorder="1" applyAlignment="1">
      <alignment horizontal="center"/>
    </xf>
    <xf numFmtId="0" fontId="12" fillId="33" borderId="36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/>
    </xf>
    <xf numFmtId="171" fontId="3" fillId="0" borderId="18" xfId="44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/>
    </xf>
    <xf numFmtId="171" fontId="0" fillId="0" borderId="46" xfId="44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38" xfId="0" applyFill="1" applyBorder="1" applyAlignment="1">
      <alignment/>
    </xf>
    <xf numFmtId="20" fontId="0" fillId="0" borderId="38" xfId="0" applyNumberFormat="1" applyFill="1" applyBorder="1" applyAlignment="1">
      <alignment/>
    </xf>
    <xf numFmtId="16" fontId="0" fillId="0" borderId="51" xfId="0" applyNumberFormat="1" applyFill="1" applyBorder="1" applyAlignment="1">
      <alignment horizontal="center"/>
    </xf>
    <xf numFmtId="0" fontId="0" fillId="0" borderId="52" xfId="0" applyFill="1" applyBorder="1" applyAlignment="1">
      <alignment/>
    </xf>
    <xf numFmtId="171" fontId="0" fillId="0" borderId="53" xfId="44" applyFont="1" applyFill="1" applyBorder="1" applyAlignment="1">
      <alignment/>
    </xf>
    <xf numFmtId="0" fontId="0" fillId="0" borderId="54" xfId="0" applyFill="1" applyBorder="1" applyAlignment="1">
      <alignment/>
    </xf>
    <xf numFmtId="44" fontId="0" fillId="0" borderId="55" xfId="0" applyNumberFormat="1" applyFill="1" applyBorder="1" applyAlignment="1">
      <alignment/>
    </xf>
    <xf numFmtId="0" fontId="0" fillId="0" borderId="56" xfId="0" applyFill="1" applyBorder="1" applyAlignment="1">
      <alignment/>
    </xf>
    <xf numFmtId="0" fontId="12" fillId="0" borderId="13" xfId="0" applyFont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10" fontId="0" fillId="0" borderId="13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0" fontId="0" fillId="0" borderId="31" xfId="0" applyBorder="1" applyAlignment="1">
      <alignment horizontal="center"/>
    </xf>
    <xf numFmtId="44" fontId="0" fillId="0" borderId="20" xfId="0" applyNumberFormat="1" applyBorder="1" applyAlignment="1">
      <alignment/>
    </xf>
    <xf numFmtId="44" fontId="0" fillId="0" borderId="28" xfId="0" applyNumberFormat="1" applyBorder="1" applyAlignment="1">
      <alignment/>
    </xf>
    <xf numFmtId="9" fontId="0" fillId="0" borderId="57" xfId="0" applyNumberFormat="1" applyBorder="1" applyAlignment="1">
      <alignment horizontal="center"/>
    </xf>
    <xf numFmtId="44" fontId="0" fillId="0" borderId="58" xfId="0" applyNumberFormat="1" applyBorder="1" applyAlignment="1">
      <alignment/>
    </xf>
    <xf numFmtId="44" fontId="0" fillId="0" borderId="59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71" fontId="0" fillId="0" borderId="57" xfId="44" applyFont="1" applyFill="1" applyBorder="1" applyAlignment="1">
      <alignment/>
    </xf>
    <xf numFmtId="171" fontId="0" fillId="0" borderId="58" xfId="44" applyFont="1" applyFill="1" applyBorder="1" applyAlignment="1">
      <alignment/>
    </xf>
    <xf numFmtId="171" fontId="3" fillId="0" borderId="24" xfId="44" applyFont="1" applyFill="1" applyBorder="1" applyAlignment="1">
      <alignment/>
    </xf>
    <xf numFmtId="171" fontId="2" fillId="0" borderId="24" xfId="44" applyFont="1" applyFill="1" applyBorder="1" applyAlignment="1">
      <alignment/>
    </xf>
    <xf numFmtId="171" fontId="9" fillId="0" borderId="24" xfId="0" applyNumberFormat="1" applyFont="1" applyFill="1" applyBorder="1" applyAlignment="1">
      <alignment/>
    </xf>
    <xf numFmtId="171" fontId="13" fillId="0" borderId="24" xfId="0" applyNumberFormat="1" applyFont="1" applyFill="1" applyBorder="1" applyAlignment="1">
      <alignment/>
    </xf>
    <xf numFmtId="171" fontId="3" fillId="0" borderId="40" xfId="44" applyFont="1" applyFill="1" applyBorder="1" applyAlignment="1">
      <alignment/>
    </xf>
    <xf numFmtId="171" fontId="1" fillId="0" borderId="0" xfId="44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0" fillId="0" borderId="13" xfId="0" applyNumberFormat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34" xfId="0" applyNumberForma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40" xfId="0" applyFont="1" applyFill="1" applyBorder="1" applyAlignment="1">
      <alignment horizontal="center"/>
    </xf>
    <xf numFmtId="171" fontId="0" fillId="0" borderId="22" xfId="44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27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vertical="center" textRotation="255"/>
    </xf>
    <xf numFmtId="171" fontId="3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61" xfId="0" applyFill="1" applyBorder="1" applyAlignment="1">
      <alignment/>
    </xf>
    <xf numFmtId="0" fontId="0" fillId="0" borderId="21" xfId="0" applyFill="1" applyBorder="1" applyAlignment="1">
      <alignment/>
    </xf>
    <xf numFmtId="171" fontId="0" fillId="0" borderId="37" xfId="44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14" fillId="0" borderId="24" xfId="44" applyFont="1" applyFill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4" fontId="1" fillId="0" borderId="13" xfId="0" applyNumberFormat="1" applyFont="1" applyFill="1" applyBorder="1" applyAlignment="1">
      <alignment horizontal="right"/>
    </xf>
    <xf numFmtId="2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1" borderId="36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37" xfId="0" applyFill="1" applyBorder="1" applyAlignment="1">
      <alignment horizontal="center" vertical="center"/>
    </xf>
    <xf numFmtId="0" fontId="0" fillId="1" borderId="38" xfId="0" applyFill="1" applyBorder="1" applyAlignment="1">
      <alignment horizontal="center" vertical="center"/>
    </xf>
    <xf numFmtId="0" fontId="0" fillId="1" borderId="39" xfId="0" applyFill="1" applyBorder="1" applyAlignment="1">
      <alignment horizontal="center" vertical="center"/>
    </xf>
    <xf numFmtId="44" fontId="0" fillId="1" borderId="39" xfId="0" applyNumberFormat="1" applyFill="1" applyBorder="1" applyAlignment="1">
      <alignment horizontal="center" vertical="center"/>
    </xf>
    <xf numFmtId="0" fontId="0" fillId="1" borderId="40" xfId="0" applyFill="1" applyBorder="1" applyAlignment="1">
      <alignment horizontal="center" vertical="center"/>
    </xf>
    <xf numFmtId="0" fontId="0" fillId="1" borderId="41" xfId="0" applyFill="1" applyBorder="1" applyAlignment="1">
      <alignment horizontal="center" vertical="center"/>
    </xf>
    <xf numFmtId="0" fontId="0" fillId="1" borderId="42" xfId="0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1" fontId="1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71" fontId="0" fillId="35" borderId="58" xfId="44" applyFont="1" applyFill="1" applyBorder="1" applyAlignment="1">
      <alignment/>
    </xf>
    <xf numFmtId="44" fontId="1" fillId="35" borderId="13" xfId="44" applyNumberFormat="1" applyFont="1" applyFill="1" applyBorder="1" applyAlignment="1">
      <alignment horizontal="center"/>
    </xf>
    <xf numFmtId="171" fontId="0" fillId="36" borderId="58" xfId="44" applyFont="1" applyFill="1" applyBorder="1" applyAlignment="1">
      <alignment/>
    </xf>
    <xf numFmtId="171" fontId="0" fillId="0" borderId="18" xfId="44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44" fontId="0" fillId="35" borderId="13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44" fontId="0" fillId="35" borderId="20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171" fontId="0" fillId="0" borderId="20" xfId="44" applyFont="1" applyFill="1" applyBorder="1" applyAlignment="1">
      <alignment/>
    </xf>
    <xf numFmtId="171" fontId="0" fillId="35" borderId="20" xfId="44" applyFont="1" applyFill="1" applyBorder="1" applyAlignment="1">
      <alignment/>
    </xf>
    <xf numFmtId="171" fontId="0" fillId="35" borderId="20" xfId="44" applyFont="1" applyFill="1" applyBorder="1" applyAlignment="1">
      <alignment/>
    </xf>
    <xf numFmtId="171" fontId="0" fillId="0" borderId="20" xfId="44" applyFont="1" applyFill="1" applyBorder="1" applyAlignment="1">
      <alignment/>
    </xf>
    <xf numFmtId="171" fontId="0" fillId="36" borderId="20" xfId="44" applyFont="1" applyFill="1" applyBorder="1" applyAlignment="1">
      <alignment/>
    </xf>
    <xf numFmtId="171" fontId="0" fillId="0" borderId="34" xfId="44" applyFont="1" applyFill="1" applyBorder="1" applyAlignment="1">
      <alignment/>
    </xf>
    <xf numFmtId="171" fontId="2" fillId="0" borderId="34" xfId="44" applyFont="1" applyFill="1" applyBorder="1" applyAlignment="1">
      <alignment horizontal="center"/>
    </xf>
    <xf numFmtId="171" fontId="3" fillId="0" borderId="34" xfId="44" applyFont="1" applyFill="1" applyBorder="1" applyAlignment="1">
      <alignment/>
    </xf>
    <xf numFmtId="0" fontId="0" fillId="0" borderId="34" xfId="0" applyFill="1" applyBorder="1" applyAlignment="1">
      <alignment/>
    </xf>
    <xf numFmtId="171" fontId="0" fillId="0" borderId="34" xfId="44" applyFont="1" applyFill="1" applyBorder="1" applyAlignment="1">
      <alignment wrapText="1"/>
    </xf>
    <xf numFmtId="171" fontId="0" fillId="0" borderId="27" xfId="44" applyFont="1" applyFill="1" applyBorder="1" applyAlignment="1">
      <alignment/>
    </xf>
    <xf numFmtId="171" fontId="2" fillId="0" borderId="13" xfId="44" applyFont="1" applyFill="1" applyBorder="1" applyAlignment="1">
      <alignment/>
    </xf>
    <xf numFmtId="171" fontId="2" fillId="0" borderId="20" xfId="44" applyFont="1" applyFill="1" applyBorder="1" applyAlignment="1">
      <alignment/>
    </xf>
    <xf numFmtId="171" fontId="2" fillId="0" borderId="28" xfId="44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44" fontId="0" fillId="0" borderId="46" xfId="0" applyNumberFormat="1" applyFill="1" applyBorder="1" applyAlignment="1">
      <alignment/>
    </xf>
    <xf numFmtId="0" fontId="0" fillId="4" borderId="13" xfId="0" applyFill="1" applyBorder="1" applyAlignment="1">
      <alignment/>
    </xf>
    <xf numFmtId="49" fontId="16" fillId="0" borderId="63" xfId="54" applyNumberFormat="1" applyFont="1" applyFill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176" fontId="0" fillId="0" borderId="16" xfId="0" applyNumberFormat="1" applyFill="1" applyBorder="1" applyAlignment="1">
      <alignment horizontal="center"/>
    </xf>
    <xf numFmtId="176" fontId="0" fillId="0" borderId="34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textRotation="180"/>
    </xf>
    <xf numFmtId="0" fontId="8" fillId="0" borderId="18" xfId="0" applyFont="1" applyFill="1" applyBorder="1" applyAlignment="1">
      <alignment horizontal="center" vertical="center" textRotation="180"/>
    </xf>
    <xf numFmtId="0" fontId="8" fillId="0" borderId="22" xfId="0" applyFont="1" applyFill="1" applyBorder="1" applyAlignment="1">
      <alignment horizontal="center" vertical="center" textRotation="180"/>
    </xf>
    <xf numFmtId="0" fontId="0" fillId="0" borderId="49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1" xfId="0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3" xfId="52"/>
    <cellStyle name="Normale 4" xfId="53"/>
    <cellStyle name="Normale 5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E24" sqref="E24"/>
    </sheetView>
  </sheetViews>
  <sheetFormatPr defaultColWidth="9.140625" defaultRowHeight="12.75"/>
  <cols>
    <col min="1" max="1" width="7.421875" style="1" customWidth="1"/>
    <col min="2" max="2" width="12.421875" style="2" customWidth="1"/>
    <col min="3" max="3" width="10.28125" style="1" customWidth="1"/>
    <col min="4" max="4" width="41.140625" style="1" customWidth="1"/>
    <col min="5" max="5" width="18.00390625" style="1" bestFit="1" customWidth="1"/>
    <col min="6" max="6" width="21.7109375" style="1" bestFit="1" customWidth="1"/>
    <col min="7" max="7" width="2.00390625" style="1" customWidth="1"/>
    <col min="8" max="8" width="10.8515625" style="1" bestFit="1" customWidth="1"/>
    <col min="9" max="16384" width="9.140625" style="1" customWidth="1"/>
  </cols>
  <sheetData>
    <row r="1" spans="1:6" ht="24" customHeight="1" thickBot="1">
      <c r="A1" s="239" t="s">
        <v>145</v>
      </c>
      <c r="B1" s="240"/>
      <c r="C1" s="240"/>
      <c r="D1" s="240"/>
      <c r="E1" s="240"/>
      <c r="F1" s="241"/>
    </row>
    <row r="2" spans="1:6" ht="14.25" customHeight="1" thickBot="1">
      <c r="A2" s="242" t="s">
        <v>5</v>
      </c>
      <c r="B2" s="243"/>
      <c r="C2" s="244"/>
      <c r="D2" s="156" t="s">
        <v>229</v>
      </c>
      <c r="E2" s="196" t="s">
        <v>4</v>
      </c>
      <c r="F2" s="12"/>
    </row>
    <row r="3" spans="1:8" ht="19.5" customHeight="1">
      <c r="A3" s="246" t="s">
        <v>6</v>
      </c>
      <c r="B3" s="105" t="s">
        <v>147</v>
      </c>
      <c r="C3" s="248">
        <v>36251</v>
      </c>
      <c r="D3" s="154" t="s">
        <v>148</v>
      </c>
      <c r="E3" s="209">
        <v>8431.36</v>
      </c>
      <c r="F3" s="19"/>
      <c r="H3" s="1" t="s">
        <v>197</v>
      </c>
    </row>
    <row r="4" spans="1:6" ht="19.5" customHeight="1">
      <c r="A4" s="247"/>
      <c r="B4" s="100" t="s">
        <v>149</v>
      </c>
      <c r="C4" s="249"/>
      <c r="D4" s="137" t="s">
        <v>154</v>
      </c>
      <c r="E4" s="210"/>
      <c r="F4" s="19"/>
    </row>
    <row r="5" spans="1:6" ht="19.5" customHeight="1">
      <c r="A5" s="247"/>
      <c r="B5" s="108" t="s">
        <v>150</v>
      </c>
      <c r="C5" s="249"/>
      <c r="D5" s="155" t="s">
        <v>151</v>
      </c>
      <c r="E5" s="211">
        <v>502.34</v>
      </c>
      <c r="F5" s="19"/>
    </row>
    <row r="6" spans="1:6" ht="19.5" customHeight="1">
      <c r="A6" s="247"/>
      <c r="B6" s="108" t="s">
        <v>152</v>
      </c>
      <c r="C6" s="249"/>
      <c r="D6" s="155" t="s">
        <v>155</v>
      </c>
      <c r="E6" s="211"/>
      <c r="F6" s="19"/>
    </row>
    <row r="7" spans="1:6" ht="19.5" customHeight="1">
      <c r="A7" s="247"/>
      <c r="B7" s="108" t="s">
        <v>153</v>
      </c>
      <c r="C7" s="249"/>
      <c r="D7" s="155" t="s">
        <v>44</v>
      </c>
      <c r="E7" s="211"/>
      <c r="F7" s="19"/>
    </row>
    <row r="8" spans="1:6" ht="19.5" customHeight="1">
      <c r="A8" s="247"/>
      <c r="B8" s="108" t="s">
        <v>156</v>
      </c>
      <c r="C8" s="249"/>
      <c r="D8" s="155" t="s">
        <v>167</v>
      </c>
      <c r="E8" s="211"/>
      <c r="F8" s="19"/>
    </row>
    <row r="9" spans="1:6" ht="19.5" customHeight="1">
      <c r="A9" s="247"/>
      <c r="B9" s="108" t="s">
        <v>157</v>
      </c>
      <c r="C9" s="249"/>
      <c r="D9" s="155" t="s">
        <v>45</v>
      </c>
      <c r="E9" s="211"/>
      <c r="F9" s="19"/>
    </row>
    <row r="10" spans="1:8" ht="19.5" customHeight="1">
      <c r="A10" s="247"/>
      <c r="B10" s="108" t="s">
        <v>203</v>
      </c>
      <c r="C10" s="249"/>
      <c r="D10" s="136" t="s">
        <v>204</v>
      </c>
      <c r="E10" s="214"/>
      <c r="F10" s="19"/>
      <c r="H10" s="1" t="s">
        <v>210</v>
      </c>
    </row>
    <row r="11" spans="1:6" ht="19.5" customHeight="1">
      <c r="A11" s="247"/>
      <c r="B11" s="108" t="s">
        <v>158</v>
      </c>
      <c r="C11" s="250"/>
      <c r="D11" s="155" t="s">
        <v>159</v>
      </c>
      <c r="E11" s="211">
        <v>24.5</v>
      </c>
      <c r="F11" s="19"/>
    </row>
    <row r="12" spans="1:8" ht="19.5" customHeight="1">
      <c r="A12" s="247"/>
      <c r="B12" s="100" t="s">
        <v>160</v>
      </c>
      <c r="C12" s="152">
        <v>37169</v>
      </c>
      <c r="D12" s="137" t="s">
        <v>8</v>
      </c>
      <c r="E12" s="213">
        <v>102.77</v>
      </c>
      <c r="F12" s="19"/>
      <c r="H12" s="1" t="s">
        <v>197</v>
      </c>
    </row>
    <row r="13" spans="1:8" ht="19.5" customHeight="1">
      <c r="A13" s="247"/>
      <c r="B13" s="100" t="s">
        <v>161</v>
      </c>
      <c r="C13" s="251">
        <v>38008</v>
      </c>
      <c r="D13" s="137" t="s">
        <v>168</v>
      </c>
      <c r="E13" s="213">
        <v>863.58</v>
      </c>
      <c r="F13" s="19"/>
      <c r="H13" s="1" t="s">
        <v>211</v>
      </c>
    </row>
    <row r="14" spans="1:8" ht="19.5" customHeight="1">
      <c r="A14" s="247"/>
      <c r="B14" s="100" t="s">
        <v>162</v>
      </c>
      <c r="C14" s="250"/>
      <c r="D14" s="137" t="s">
        <v>169</v>
      </c>
      <c r="E14" s="213">
        <v>696.44</v>
      </c>
      <c r="F14" s="19"/>
      <c r="H14" s="1" t="s">
        <v>211</v>
      </c>
    </row>
    <row r="15" spans="1:6" ht="19.5" customHeight="1">
      <c r="A15" s="247"/>
      <c r="B15" s="100" t="s">
        <v>163</v>
      </c>
      <c r="C15" s="151">
        <v>37169</v>
      </c>
      <c r="D15" s="137" t="s">
        <v>164</v>
      </c>
      <c r="E15" s="211">
        <f>1027.78-46.25</f>
        <v>981.53</v>
      </c>
      <c r="F15" s="19"/>
    </row>
    <row r="16" spans="1:8" ht="19.5" customHeight="1">
      <c r="A16" s="247"/>
      <c r="B16" s="100" t="s">
        <v>165</v>
      </c>
      <c r="C16" s="151">
        <v>38008</v>
      </c>
      <c r="D16" s="137" t="s">
        <v>166</v>
      </c>
      <c r="E16" s="213">
        <v>278.57</v>
      </c>
      <c r="F16" s="19"/>
      <c r="H16" s="1" t="s">
        <v>211</v>
      </c>
    </row>
    <row r="17" spans="1:8" ht="19.5" customHeight="1">
      <c r="A17" s="247"/>
      <c r="B17" s="100" t="s">
        <v>160</v>
      </c>
      <c r="C17" s="151">
        <v>38846</v>
      </c>
      <c r="D17" s="137" t="s">
        <v>170</v>
      </c>
      <c r="E17" s="213">
        <v>546.77</v>
      </c>
      <c r="F17" s="19"/>
      <c r="H17" s="1" t="s">
        <v>212</v>
      </c>
    </row>
    <row r="18" spans="1:6" ht="19.5" customHeight="1">
      <c r="A18" s="247"/>
      <c r="B18" s="100" t="s">
        <v>172</v>
      </c>
      <c r="C18" s="151">
        <v>38008</v>
      </c>
      <c r="D18" s="137" t="s">
        <v>171</v>
      </c>
      <c r="E18" s="211">
        <v>0</v>
      </c>
      <c r="F18" s="19"/>
    </row>
    <row r="19" spans="1:8" ht="19.5" customHeight="1">
      <c r="A19" s="247"/>
      <c r="B19" s="100" t="s">
        <v>173</v>
      </c>
      <c r="C19" s="151">
        <v>38008</v>
      </c>
      <c r="D19" s="137" t="s">
        <v>222</v>
      </c>
      <c r="E19" s="213">
        <v>130.13</v>
      </c>
      <c r="F19" s="19"/>
      <c r="H19" s="1" t="s">
        <v>213</v>
      </c>
    </row>
    <row r="20" spans="1:8" ht="19.5" customHeight="1">
      <c r="A20" s="247"/>
      <c r="B20" s="100" t="s">
        <v>174</v>
      </c>
      <c r="C20" s="151">
        <v>38846</v>
      </c>
      <c r="D20" s="137" t="s">
        <v>175</v>
      </c>
      <c r="E20" s="213">
        <v>34.71</v>
      </c>
      <c r="F20" s="40"/>
      <c r="H20" s="1" t="s">
        <v>213</v>
      </c>
    </row>
    <row r="21" spans="1:8" ht="19.5" customHeight="1">
      <c r="A21" s="247"/>
      <c r="B21" s="100" t="s">
        <v>174</v>
      </c>
      <c r="C21" s="151">
        <v>38846</v>
      </c>
      <c r="D21" s="137" t="s">
        <v>188</v>
      </c>
      <c r="E21" s="213">
        <v>179.4</v>
      </c>
      <c r="F21" s="40"/>
      <c r="H21" s="1" t="s">
        <v>213</v>
      </c>
    </row>
    <row r="22" spans="1:8" ht="19.5" customHeight="1">
      <c r="A22" s="247"/>
      <c r="B22" s="100" t="s">
        <v>174</v>
      </c>
      <c r="C22" s="151">
        <v>38846</v>
      </c>
      <c r="D22" s="137" t="s">
        <v>202</v>
      </c>
      <c r="E22" s="213">
        <v>139.1</v>
      </c>
      <c r="F22" s="40"/>
      <c r="H22" s="1" t="s">
        <v>213</v>
      </c>
    </row>
    <row r="23" spans="1:8" ht="17.25" customHeight="1">
      <c r="A23" s="247"/>
      <c r="B23" s="100" t="s">
        <v>176</v>
      </c>
      <c r="C23" s="151">
        <v>39549</v>
      </c>
      <c r="D23" s="208" t="s">
        <v>177</v>
      </c>
      <c r="E23" s="213">
        <v>699.64</v>
      </c>
      <c r="F23" s="102"/>
      <c r="H23" s="1" t="s">
        <v>214</v>
      </c>
    </row>
    <row r="24" spans="1:6" ht="17.25" customHeight="1" thickBot="1">
      <c r="A24" s="247"/>
      <c r="B24" s="119"/>
      <c r="C24" s="153"/>
      <c r="D24" s="231" t="s">
        <v>228</v>
      </c>
      <c r="E24" s="213">
        <f>-E15</f>
        <v>-981.53</v>
      </c>
      <c r="F24" s="102"/>
    </row>
    <row r="25" spans="1:6" ht="18.75" customHeight="1" thickBot="1">
      <c r="A25" s="235"/>
      <c r="B25" s="232" t="s">
        <v>9</v>
      </c>
      <c r="C25" s="233"/>
      <c r="D25" s="245"/>
      <c r="E25" s="144">
        <f>SUM(E3:E24)</f>
        <v>12629.31</v>
      </c>
      <c r="F25" s="22"/>
    </row>
    <row r="26" spans="1:6" ht="14.25" customHeight="1" thickBot="1">
      <c r="A26" s="232" t="s">
        <v>10</v>
      </c>
      <c r="B26" s="233"/>
      <c r="C26" s="245"/>
      <c r="D26" s="167"/>
      <c r="E26" s="169"/>
      <c r="F26" s="19"/>
    </row>
    <row r="27" spans="1:6" ht="19.5" customHeight="1">
      <c r="A27" s="234" t="s">
        <v>2</v>
      </c>
      <c r="B27" s="166" t="s">
        <v>178</v>
      </c>
      <c r="C27" s="159">
        <v>36251</v>
      </c>
      <c r="D27" s="158" t="s">
        <v>179</v>
      </c>
      <c r="E27" s="138">
        <v>0</v>
      </c>
      <c r="F27" s="19"/>
    </row>
    <row r="28" spans="1:6" ht="19.5" customHeight="1">
      <c r="A28" s="234"/>
      <c r="B28" s="164" t="s">
        <v>46</v>
      </c>
      <c r="C28" s="160">
        <v>36251</v>
      </c>
      <c r="D28" s="136" t="s">
        <v>180</v>
      </c>
      <c r="E28" s="139">
        <v>0</v>
      </c>
      <c r="F28" s="19"/>
    </row>
    <row r="29" spans="1:6" ht="19.5" customHeight="1">
      <c r="A29" s="234"/>
      <c r="B29" s="165" t="s">
        <v>47</v>
      </c>
      <c r="C29" s="160">
        <v>36251</v>
      </c>
      <c r="D29" s="136" t="s">
        <v>181</v>
      </c>
      <c r="E29" s="139">
        <v>0</v>
      </c>
      <c r="F29" s="19"/>
    </row>
    <row r="30" spans="1:6" ht="12.75">
      <c r="A30" s="234"/>
      <c r="B30" s="165" t="s">
        <v>48</v>
      </c>
      <c r="C30" s="160">
        <v>36251</v>
      </c>
      <c r="D30" s="136" t="s">
        <v>182</v>
      </c>
      <c r="E30" s="202">
        <v>0</v>
      </c>
      <c r="F30" s="203"/>
    </row>
    <row r="31" spans="1:6" ht="19.5" customHeight="1">
      <c r="A31" s="234"/>
      <c r="B31" s="165" t="s">
        <v>11</v>
      </c>
      <c r="C31" s="160">
        <v>36251</v>
      </c>
      <c r="D31" s="136" t="s">
        <v>12</v>
      </c>
      <c r="E31" s="139"/>
      <c r="F31" s="19"/>
    </row>
    <row r="32" spans="1:8" ht="19.5" customHeight="1">
      <c r="A32" s="234"/>
      <c r="B32" s="165" t="s">
        <v>13</v>
      </c>
      <c r="C32" s="160">
        <v>36251</v>
      </c>
      <c r="D32" s="136" t="s">
        <v>205</v>
      </c>
      <c r="E32" s="200">
        <v>911.07</v>
      </c>
      <c r="F32" s="19"/>
      <c r="H32" s="1" t="s">
        <v>215</v>
      </c>
    </row>
    <row r="33" spans="1:6" ht="19.5" customHeight="1">
      <c r="A33" s="234"/>
      <c r="B33" s="165" t="s">
        <v>7</v>
      </c>
      <c r="C33" s="160">
        <v>36251</v>
      </c>
      <c r="D33" s="136" t="s">
        <v>14</v>
      </c>
      <c r="E33" s="139">
        <v>0</v>
      </c>
      <c r="F33" s="19"/>
    </row>
    <row r="34" spans="1:6" ht="19.5" customHeight="1">
      <c r="A34" s="234"/>
      <c r="B34" s="165" t="s">
        <v>7</v>
      </c>
      <c r="C34" s="160">
        <v>36251</v>
      </c>
      <c r="D34" s="136" t="s">
        <v>183</v>
      </c>
      <c r="E34" s="139">
        <v>0</v>
      </c>
      <c r="F34" s="19"/>
    </row>
    <row r="35" spans="1:8" ht="19.5" customHeight="1">
      <c r="A35" s="234"/>
      <c r="B35" s="165" t="s">
        <v>7</v>
      </c>
      <c r="C35" s="160">
        <v>36251</v>
      </c>
      <c r="D35" s="136" t="s">
        <v>15</v>
      </c>
      <c r="E35" s="200">
        <f>2400-750.79</f>
        <v>1649.21</v>
      </c>
      <c r="F35" s="19"/>
      <c r="H35" s="1" t="s">
        <v>216</v>
      </c>
    </row>
    <row r="36" spans="1:8" ht="19.5" customHeight="1">
      <c r="A36" s="234"/>
      <c r="B36" s="165" t="s">
        <v>7</v>
      </c>
      <c r="C36" s="160">
        <v>36251</v>
      </c>
      <c r="D36" s="136" t="s">
        <v>204</v>
      </c>
      <c r="E36" s="139">
        <v>0</v>
      </c>
      <c r="F36" s="19"/>
      <c r="H36" s="1" t="s">
        <v>198</v>
      </c>
    </row>
    <row r="37" spans="1:6" ht="19.5" customHeight="1">
      <c r="A37" s="234"/>
      <c r="B37" s="165" t="s">
        <v>7</v>
      </c>
      <c r="C37" s="160">
        <v>36251</v>
      </c>
      <c r="D37" s="136" t="s">
        <v>193</v>
      </c>
      <c r="E37" s="139">
        <v>0</v>
      </c>
      <c r="F37" s="19"/>
    </row>
    <row r="38" spans="1:6" ht="19.5" customHeight="1">
      <c r="A38" s="234"/>
      <c r="B38" s="165" t="s">
        <v>3</v>
      </c>
      <c r="C38" s="160">
        <v>36251</v>
      </c>
      <c r="D38" s="136" t="s">
        <v>16</v>
      </c>
      <c r="E38" s="139">
        <v>0</v>
      </c>
      <c r="F38" s="19"/>
    </row>
    <row r="39" spans="1:6" ht="19.5" customHeight="1">
      <c r="A39" s="234"/>
      <c r="B39" s="165" t="s">
        <v>17</v>
      </c>
      <c r="C39" s="160" t="s">
        <v>1</v>
      </c>
      <c r="D39" s="136" t="s">
        <v>195</v>
      </c>
      <c r="E39" s="139">
        <v>0</v>
      </c>
      <c r="F39" s="19"/>
    </row>
    <row r="40" spans="1:6" ht="19.5" customHeight="1">
      <c r="A40" s="234"/>
      <c r="B40" s="31" t="s">
        <v>106</v>
      </c>
      <c r="C40" s="151" t="s">
        <v>126</v>
      </c>
      <c r="D40" s="137" t="s">
        <v>107</v>
      </c>
      <c r="E40" s="139">
        <v>0</v>
      </c>
      <c r="F40" s="19"/>
    </row>
    <row r="41" spans="1:6" ht="19.5" customHeight="1">
      <c r="A41" s="234"/>
      <c r="B41" s="31" t="s">
        <v>108</v>
      </c>
      <c r="C41" s="151" t="s">
        <v>126</v>
      </c>
      <c r="D41" s="137" t="s">
        <v>109</v>
      </c>
      <c r="E41" s="139">
        <v>0</v>
      </c>
      <c r="F41" s="19"/>
    </row>
    <row r="42" spans="1:6" ht="19.5" customHeight="1">
      <c r="A42" s="234"/>
      <c r="B42" s="31" t="s">
        <v>184</v>
      </c>
      <c r="C42" s="151">
        <v>39549</v>
      </c>
      <c r="D42" s="137" t="s">
        <v>189</v>
      </c>
      <c r="E42" s="139">
        <v>0</v>
      </c>
      <c r="F42" s="19"/>
    </row>
    <row r="43" spans="1:9" ht="19.5" customHeight="1">
      <c r="A43" s="234"/>
      <c r="B43" s="31" t="s">
        <v>185</v>
      </c>
      <c r="C43" s="151">
        <v>39549</v>
      </c>
      <c r="D43" s="137" t="s">
        <v>190</v>
      </c>
      <c r="E43" s="139">
        <v>0</v>
      </c>
      <c r="F43" s="19"/>
      <c r="H43" s="1" t="s">
        <v>199</v>
      </c>
      <c r="I43" s="1" t="s">
        <v>206</v>
      </c>
    </row>
    <row r="44" spans="1:6" ht="19.5" customHeight="1" thickBot="1">
      <c r="A44" s="234"/>
      <c r="B44" s="35" t="s">
        <v>200</v>
      </c>
      <c r="C44" s="168"/>
      <c r="D44" s="161" t="s">
        <v>201</v>
      </c>
      <c r="E44" s="139">
        <v>0</v>
      </c>
      <c r="F44" s="19"/>
    </row>
    <row r="45" spans="1:6" ht="19.5" customHeight="1" thickBot="1">
      <c r="A45" s="235"/>
      <c r="B45" s="232" t="s">
        <v>19</v>
      </c>
      <c r="C45" s="233"/>
      <c r="D45" s="233"/>
      <c r="E45" s="140">
        <f>SUM(E27:E44)</f>
        <v>2560.28</v>
      </c>
      <c r="F45" s="157"/>
    </row>
    <row r="46" spans="1:6" ht="19.5" customHeight="1" thickBot="1">
      <c r="A46" s="236" t="s">
        <v>187</v>
      </c>
      <c r="B46" s="237"/>
      <c r="C46" s="237"/>
      <c r="D46" s="237"/>
      <c r="E46" s="238"/>
      <c r="F46" s="171">
        <f>E25+E45</f>
        <v>15189.59</v>
      </c>
    </row>
    <row r="47" spans="1:6" ht="19.5" customHeight="1">
      <c r="A47" s="162"/>
      <c r="B47" s="6"/>
      <c r="C47" s="21"/>
      <c r="D47" s="6"/>
      <c r="E47" s="163"/>
      <c r="F47" s="18"/>
    </row>
    <row r="48" spans="1:8" ht="18" customHeight="1">
      <c r="A48" s="6"/>
      <c r="B48" s="172" t="s">
        <v>186</v>
      </c>
      <c r="C48" s="173">
        <v>36220</v>
      </c>
      <c r="D48" s="172" t="s">
        <v>22</v>
      </c>
      <c r="E48" s="201">
        <f>816.64-E11</f>
        <v>792.14</v>
      </c>
      <c r="F48" s="37"/>
      <c r="H48" s="1" t="s">
        <v>217</v>
      </c>
    </row>
    <row r="49" spans="1:6" ht="17.25" customHeight="1">
      <c r="A49" s="6"/>
      <c r="B49" s="172" t="s">
        <v>21</v>
      </c>
      <c r="C49" s="174" t="s">
        <v>18</v>
      </c>
      <c r="D49" s="175" t="s">
        <v>23</v>
      </c>
      <c r="E49" s="176">
        <v>0</v>
      </c>
      <c r="F49" s="145"/>
    </row>
    <row r="50" spans="2:6" ht="12.75">
      <c r="B50" s="37"/>
      <c r="C50" s="9"/>
      <c r="D50" s="170"/>
      <c r="E50" s="145"/>
      <c r="F50" s="6"/>
    </row>
    <row r="52" ht="12.75">
      <c r="D52" s="1" t="s">
        <v>218</v>
      </c>
    </row>
    <row r="53" ht="12.75">
      <c r="D53" s="1" t="s">
        <v>219</v>
      </c>
    </row>
    <row r="54" spans="4:5" ht="12.75">
      <c r="D54" s="6" t="s">
        <v>220</v>
      </c>
      <c r="E54" s="1">
        <f>SUM(E52:E53)</f>
        <v>0</v>
      </c>
    </row>
  </sheetData>
  <sheetProtection/>
  <mergeCells count="10">
    <mergeCell ref="B45:D45"/>
    <mergeCell ref="A27:A45"/>
    <mergeCell ref="A46:E46"/>
    <mergeCell ref="A1:F1"/>
    <mergeCell ref="A2:C2"/>
    <mergeCell ref="A26:C26"/>
    <mergeCell ref="A3:A25"/>
    <mergeCell ref="C3:C11"/>
    <mergeCell ref="C13:C14"/>
    <mergeCell ref="B25:D25"/>
  </mergeCells>
  <printOptions/>
  <pageMargins left="0.5905511811023623" right="0.6692913385826772" top="0.7086614173228347" bottom="0.5511811023622047" header="0.5118110236220472" footer="0.5118110236220472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5.57421875" style="1" customWidth="1"/>
    <col min="2" max="2" width="11.57421875" style="2" customWidth="1"/>
    <col min="3" max="3" width="8.8515625" style="1" customWidth="1"/>
    <col min="4" max="4" width="41.140625" style="1" customWidth="1"/>
    <col min="5" max="6" width="15.28125" style="1" customWidth="1"/>
    <col min="7" max="7" width="15.8515625" style="1" customWidth="1"/>
    <col min="8" max="8" width="2.00390625" style="1" customWidth="1"/>
    <col min="9" max="9" width="10.8515625" style="1" bestFit="1" customWidth="1"/>
    <col min="10" max="16384" width="9.140625" style="1" customWidth="1"/>
  </cols>
  <sheetData>
    <row r="1" spans="1:7" ht="41.25" customHeight="1">
      <c r="A1" s="256" t="s">
        <v>224</v>
      </c>
      <c r="B1" s="257"/>
      <c r="C1" s="257"/>
      <c r="D1" s="257"/>
      <c r="E1" s="257"/>
      <c r="F1" s="257"/>
      <c r="G1" s="257"/>
    </row>
    <row r="2" spans="1:7" ht="27.75" customHeight="1">
      <c r="A2" s="258" t="s">
        <v>5</v>
      </c>
      <c r="B2" s="259"/>
      <c r="C2" s="260"/>
      <c r="D2" s="227" t="s">
        <v>223</v>
      </c>
      <c r="E2" s="225" t="s">
        <v>225</v>
      </c>
      <c r="F2" s="226" t="s">
        <v>226</v>
      </c>
      <c r="G2" s="168"/>
    </row>
    <row r="3" spans="1:9" ht="19.5" customHeight="1">
      <c r="A3" s="252" t="s">
        <v>6</v>
      </c>
      <c r="B3" s="15" t="s">
        <v>147</v>
      </c>
      <c r="C3" s="261">
        <v>36251</v>
      </c>
      <c r="D3" s="230" t="s">
        <v>148</v>
      </c>
      <c r="E3" s="205">
        <v>8431.36</v>
      </c>
      <c r="F3" s="209">
        <v>8431.36</v>
      </c>
      <c r="G3" s="216"/>
      <c r="I3" s="1" t="s">
        <v>197</v>
      </c>
    </row>
    <row r="4" spans="1:7" ht="19.5" customHeight="1">
      <c r="A4" s="252"/>
      <c r="B4" s="15" t="s">
        <v>149</v>
      </c>
      <c r="C4" s="261"/>
      <c r="D4" s="15" t="s">
        <v>154</v>
      </c>
      <c r="E4" s="206"/>
      <c r="F4" s="210"/>
      <c r="G4" s="216"/>
    </row>
    <row r="5" spans="1:7" ht="19.5" customHeight="1">
      <c r="A5" s="252"/>
      <c r="B5" s="15" t="s">
        <v>150</v>
      </c>
      <c r="C5" s="261"/>
      <c r="D5" s="15" t="s">
        <v>151</v>
      </c>
      <c r="E5" s="211">
        <v>502.34</v>
      </c>
      <c r="F5" s="211">
        <v>502.34</v>
      </c>
      <c r="G5" s="216"/>
    </row>
    <row r="6" spans="1:7" ht="19.5" customHeight="1">
      <c r="A6" s="252"/>
      <c r="B6" s="15" t="s">
        <v>152</v>
      </c>
      <c r="C6" s="261"/>
      <c r="D6" s="15" t="s">
        <v>155</v>
      </c>
      <c r="E6" s="206"/>
      <c r="F6" s="211"/>
      <c r="G6" s="216"/>
    </row>
    <row r="7" spans="1:7" ht="19.5" customHeight="1">
      <c r="A7" s="252"/>
      <c r="B7" s="15" t="s">
        <v>153</v>
      </c>
      <c r="C7" s="261"/>
      <c r="D7" s="15" t="s">
        <v>44</v>
      </c>
      <c r="E7" s="206"/>
      <c r="F7" s="211"/>
      <c r="G7" s="216"/>
    </row>
    <row r="8" spans="1:7" ht="19.5" customHeight="1">
      <c r="A8" s="252"/>
      <c r="B8" s="15" t="s">
        <v>156</v>
      </c>
      <c r="C8" s="261"/>
      <c r="D8" s="15" t="s">
        <v>167</v>
      </c>
      <c r="E8" s="206"/>
      <c r="F8" s="211"/>
      <c r="G8" s="216"/>
    </row>
    <row r="9" spans="1:7" ht="19.5" customHeight="1">
      <c r="A9" s="252"/>
      <c r="B9" s="15" t="s">
        <v>157</v>
      </c>
      <c r="C9" s="261"/>
      <c r="D9" s="15" t="s">
        <v>45</v>
      </c>
      <c r="E9" s="206"/>
      <c r="F9" s="211"/>
      <c r="G9" s="216"/>
    </row>
    <row r="10" spans="1:9" ht="19.5" customHeight="1">
      <c r="A10" s="252"/>
      <c r="B10" s="15" t="s">
        <v>203</v>
      </c>
      <c r="C10" s="261"/>
      <c r="D10" s="207" t="s">
        <v>204</v>
      </c>
      <c r="E10" s="206"/>
      <c r="F10" s="214"/>
      <c r="G10" s="216"/>
      <c r="I10" s="1" t="s">
        <v>210</v>
      </c>
    </row>
    <row r="11" spans="1:7" ht="19.5" customHeight="1">
      <c r="A11" s="252"/>
      <c r="B11" s="15" t="s">
        <v>158</v>
      </c>
      <c r="C11" s="261"/>
      <c r="D11" s="15" t="s">
        <v>159</v>
      </c>
      <c r="E11" s="206">
        <v>24.5</v>
      </c>
      <c r="F11" s="211">
        <v>24.5</v>
      </c>
      <c r="G11" s="216"/>
    </row>
    <row r="12" spans="1:9" ht="19.5" customHeight="1">
      <c r="A12" s="252"/>
      <c r="B12" s="15" t="s">
        <v>160</v>
      </c>
      <c r="C12" s="151">
        <v>37169</v>
      </c>
      <c r="D12" s="230" t="s">
        <v>8</v>
      </c>
      <c r="E12" s="213">
        <v>102.77</v>
      </c>
      <c r="F12" s="213">
        <v>102.77</v>
      </c>
      <c r="G12" s="216"/>
      <c r="I12" s="1" t="s">
        <v>197</v>
      </c>
    </row>
    <row r="13" spans="1:9" ht="19.5" customHeight="1">
      <c r="A13" s="252"/>
      <c r="B13" s="15" t="s">
        <v>161</v>
      </c>
      <c r="C13" s="261">
        <v>38008</v>
      </c>
      <c r="D13" s="15" t="s">
        <v>168</v>
      </c>
      <c r="E13" s="213">
        <v>863.58</v>
      </c>
      <c r="F13" s="213">
        <v>863.58</v>
      </c>
      <c r="G13" s="216"/>
      <c r="I13" s="1" t="s">
        <v>211</v>
      </c>
    </row>
    <row r="14" spans="1:9" ht="19.5" customHeight="1">
      <c r="A14" s="252"/>
      <c r="B14" s="15" t="s">
        <v>162</v>
      </c>
      <c r="C14" s="261"/>
      <c r="D14" s="15" t="s">
        <v>169</v>
      </c>
      <c r="E14" s="213">
        <v>696.44</v>
      </c>
      <c r="F14" s="213">
        <v>696.44</v>
      </c>
      <c r="G14" s="216"/>
      <c r="I14" s="1" t="s">
        <v>211</v>
      </c>
    </row>
    <row r="15" spans="1:7" ht="19.5" customHeight="1">
      <c r="A15" s="252"/>
      <c r="B15" s="15" t="s">
        <v>163</v>
      </c>
      <c r="C15" s="151">
        <v>37169</v>
      </c>
      <c r="D15" s="15" t="s">
        <v>164</v>
      </c>
      <c r="E15" s="206"/>
      <c r="F15" s="211">
        <v>0</v>
      </c>
      <c r="G15" s="216"/>
    </row>
    <row r="16" spans="1:9" ht="19.5" customHeight="1">
      <c r="A16" s="252"/>
      <c r="B16" s="15" t="s">
        <v>165</v>
      </c>
      <c r="C16" s="151">
        <v>38008</v>
      </c>
      <c r="D16" s="15" t="s">
        <v>166</v>
      </c>
      <c r="E16" s="213">
        <v>278.57</v>
      </c>
      <c r="F16" s="213">
        <v>278.57</v>
      </c>
      <c r="G16" s="216"/>
      <c r="I16" s="1" t="s">
        <v>211</v>
      </c>
    </row>
    <row r="17" spans="1:9" ht="19.5" customHeight="1">
      <c r="A17" s="252"/>
      <c r="B17" s="15" t="s">
        <v>160</v>
      </c>
      <c r="C17" s="151">
        <v>38846</v>
      </c>
      <c r="D17" s="15" t="s">
        <v>170</v>
      </c>
      <c r="E17" s="213">
        <v>546.77</v>
      </c>
      <c r="F17" s="213">
        <v>546.77</v>
      </c>
      <c r="G17" s="216"/>
      <c r="I17" s="1" t="s">
        <v>212</v>
      </c>
    </row>
    <row r="18" spans="1:7" ht="19.5" customHeight="1">
      <c r="A18" s="252"/>
      <c r="B18" s="15" t="s">
        <v>172</v>
      </c>
      <c r="C18" s="151">
        <v>38008</v>
      </c>
      <c r="D18" s="15" t="s">
        <v>171</v>
      </c>
      <c r="E18" s="206"/>
      <c r="F18" s="211">
        <v>0</v>
      </c>
      <c r="G18" s="216"/>
    </row>
    <row r="19" spans="1:9" ht="19.5" customHeight="1">
      <c r="A19" s="252"/>
      <c r="B19" s="15" t="s">
        <v>173</v>
      </c>
      <c r="C19" s="151">
        <v>38008</v>
      </c>
      <c r="D19" s="15" t="s">
        <v>222</v>
      </c>
      <c r="E19" s="213">
        <v>130.13</v>
      </c>
      <c r="F19" s="213">
        <v>130.13</v>
      </c>
      <c r="G19" s="216"/>
      <c r="I19" s="1" t="s">
        <v>213</v>
      </c>
    </row>
    <row r="20" spans="1:9" ht="19.5" customHeight="1">
      <c r="A20" s="252"/>
      <c r="B20" s="15" t="s">
        <v>174</v>
      </c>
      <c r="C20" s="151">
        <v>38846</v>
      </c>
      <c r="D20" s="15" t="s">
        <v>175</v>
      </c>
      <c r="E20" s="213">
        <v>34.71</v>
      </c>
      <c r="F20" s="213">
        <v>34.71</v>
      </c>
      <c r="G20" s="217"/>
      <c r="I20" s="1" t="s">
        <v>213</v>
      </c>
    </row>
    <row r="21" spans="1:9" ht="19.5" customHeight="1">
      <c r="A21" s="252"/>
      <c r="B21" s="15" t="s">
        <v>174</v>
      </c>
      <c r="C21" s="151">
        <v>38846</v>
      </c>
      <c r="D21" s="15" t="s">
        <v>188</v>
      </c>
      <c r="E21" s="213">
        <v>179.4</v>
      </c>
      <c r="F21" s="213">
        <v>179.4</v>
      </c>
      <c r="G21" s="217"/>
      <c r="I21" s="1" t="s">
        <v>213</v>
      </c>
    </row>
    <row r="22" spans="1:9" ht="19.5" customHeight="1">
      <c r="A22" s="252"/>
      <c r="B22" s="15" t="s">
        <v>174</v>
      </c>
      <c r="C22" s="151">
        <v>38846</v>
      </c>
      <c r="D22" s="15" t="s">
        <v>202</v>
      </c>
      <c r="E22" s="213">
        <v>139.1</v>
      </c>
      <c r="F22" s="213">
        <v>139.1</v>
      </c>
      <c r="G22" s="217"/>
      <c r="I22" s="1" t="s">
        <v>213</v>
      </c>
    </row>
    <row r="23" spans="1:9" ht="17.25" customHeight="1">
      <c r="A23" s="252"/>
      <c r="B23" s="15" t="s">
        <v>176</v>
      </c>
      <c r="C23" s="151">
        <v>39549</v>
      </c>
      <c r="D23" s="208" t="s">
        <v>177</v>
      </c>
      <c r="E23" s="213">
        <v>699.64</v>
      </c>
      <c r="F23" s="213">
        <v>699.64</v>
      </c>
      <c r="G23" s="218"/>
      <c r="I23" s="1" t="s">
        <v>214</v>
      </c>
    </row>
    <row r="24" spans="1:7" ht="18.75" customHeight="1">
      <c r="A24" s="252"/>
      <c r="B24" s="262" t="s">
        <v>9</v>
      </c>
      <c r="C24" s="262"/>
      <c r="D24" s="262"/>
      <c r="E24" s="222">
        <f>SUM(E3:E23)</f>
        <v>12629.31</v>
      </c>
      <c r="F24" s="223">
        <f>SUM(F3:F23)</f>
        <v>12629.31</v>
      </c>
      <c r="G24" s="219"/>
    </row>
    <row r="25" spans="1:7" ht="14.25" customHeight="1">
      <c r="A25" s="242" t="s">
        <v>10</v>
      </c>
      <c r="B25" s="243"/>
      <c r="C25" s="244"/>
      <c r="D25" s="6"/>
      <c r="E25" s="6"/>
      <c r="F25" s="18"/>
      <c r="G25" s="216"/>
    </row>
    <row r="26" spans="1:7" ht="19.5" customHeight="1">
      <c r="A26" s="252" t="s">
        <v>2</v>
      </c>
      <c r="B26" s="208" t="s">
        <v>178</v>
      </c>
      <c r="C26" s="160">
        <v>36251</v>
      </c>
      <c r="D26" s="207" t="s">
        <v>179</v>
      </c>
      <c r="E26" s="207"/>
      <c r="F26" s="214">
        <v>0</v>
      </c>
      <c r="G26" s="216"/>
    </row>
    <row r="27" spans="1:7" ht="19.5" customHeight="1">
      <c r="A27" s="252"/>
      <c r="B27" s="208" t="s">
        <v>46</v>
      </c>
      <c r="C27" s="160">
        <v>36251</v>
      </c>
      <c r="D27" s="207" t="s">
        <v>180</v>
      </c>
      <c r="E27" s="207"/>
      <c r="F27" s="214">
        <v>0</v>
      </c>
      <c r="G27" s="216"/>
    </row>
    <row r="28" spans="1:7" ht="19.5" customHeight="1">
      <c r="A28" s="252"/>
      <c r="B28" s="207" t="s">
        <v>47</v>
      </c>
      <c r="C28" s="160">
        <v>36251</v>
      </c>
      <c r="D28" s="207" t="s">
        <v>181</v>
      </c>
      <c r="E28" s="207"/>
      <c r="F28" s="214">
        <v>0</v>
      </c>
      <c r="G28" s="216"/>
    </row>
    <row r="29" spans="1:7" ht="12.75">
      <c r="A29" s="252"/>
      <c r="B29" s="207" t="s">
        <v>48</v>
      </c>
      <c r="C29" s="160">
        <v>36251</v>
      </c>
      <c r="D29" s="207" t="s">
        <v>182</v>
      </c>
      <c r="E29" s="207"/>
      <c r="F29" s="215">
        <v>0</v>
      </c>
      <c r="G29" s="220"/>
    </row>
    <row r="30" spans="1:7" ht="19.5" customHeight="1">
      <c r="A30" s="252"/>
      <c r="B30" s="207" t="s">
        <v>11</v>
      </c>
      <c r="C30" s="160">
        <v>36251</v>
      </c>
      <c r="D30" s="207" t="s">
        <v>12</v>
      </c>
      <c r="E30" s="207"/>
      <c r="F30" s="214"/>
      <c r="G30" s="216"/>
    </row>
    <row r="31" spans="1:9" ht="19.5" customHeight="1">
      <c r="A31" s="252"/>
      <c r="B31" s="207" t="s">
        <v>13</v>
      </c>
      <c r="C31" s="160">
        <v>36251</v>
      </c>
      <c r="D31" s="207" t="s">
        <v>205</v>
      </c>
      <c r="E31" s="212">
        <v>911.07</v>
      </c>
      <c r="F31" s="212">
        <v>911.07</v>
      </c>
      <c r="G31" s="216"/>
      <c r="I31" s="1" t="s">
        <v>215</v>
      </c>
    </row>
    <row r="32" spans="1:7" ht="19.5" customHeight="1">
      <c r="A32" s="252"/>
      <c r="B32" s="207" t="s">
        <v>7</v>
      </c>
      <c r="C32" s="160">
        <v>36251</v>
      </c>
      <c r="D32" s="207" t="s">
        <v>14</v>
      </c>
      <c r="E32" s="207"/>
      <c r="F32" s="214">
        <v>0</v>
      </c>
      <c r="G32" s="216"/>
    </row>
    <row r="33" spans="1:7" ht="19.5" customHeight="1">
      <c r="A33" s="252"/>
      <c r="B33" s="207" t="s">
        <v>7</v>
      </c>
      <c r="C33" s="160">
        <v>36251</v>
      </c>
      <c r="D33" s="207" t="s">
        <v>183</v>
      </c>
      <c r="E33" s="207"/>
      <c r="F33" s="214">
        <v>0</v>
      </c>
      <c r="G33" s="216"/>
    </row>
    <row r="34" spans="1:9" ht="19.5" customHeight="1">
      <c r="A34" s="252"/>
      <c r="B34" s="207" t="s">
        <v>7</v>
      </c>
      <c r="C34" s="160">
        <v>36251</v>
      </c>
      <c r="D34" s="207" t="s">
        <v>15</v>
      </c>
      <c r="E34" s="212">
        <v>2400</v>
      </c>
      <c r="F34" s="212">
        <v>2400</v>
      </c>
      <c r="G34" s="216"/>
      <c r="I34" s="1" t="s">
        <v>216</v>
      </c>
    </row>
    <row r="35" spans="1:9" ht="19.5" customHeight="1">
      <c r="A35" s="252"/>
      <c r="B35" s="207" t="s">
        <v>7</v>
      </c>
      <c r="C35" s="160">
        <v>36251</v>
      </c>
      <c r="D35" s="207" t="s">
        <v>204</v>
      </c>
      <c r="E35" s="214">
        <v>0</v>
      </c>
      <c r="F35" s="214">
        <v>0</v>
      </c>
      <c r="G35" s="216"/>
      <c r="I35" s="1" t="s">
        <v>198</v>
      </c>
    </row>
    <row r="36" spans="1:7" ht="19.5" customHeight="1">
      <c r="A36" s="252"/>
      <c r="B36" s="207" t="s">
        <v>7</v>
      </c>
      <c r="C36" s="160">
        <v>36251</v>
      </c>
      <c r="D36" s="207" t="s">
        <v>193</v>
      </c>
      <c r="E36" s="214">
        <v>0</v>
      </c>
      <c r="F36" s="214">
        <v>0</v>
      </c>
      <c r="G36" s="216"/>
    </row>
    <row r="37" spans="1:7" ht="19.5" customHeight="1">
      <c r="A37" s="252"/>
      <c r="B37" s="207" t="s">
        <v>3</v>
      </c>
      <c r="C37" s="160">
        <v>36251</v>
      </c>
      <c r="D37" s="207" t="s">
        <v>16</v>
      </c>
      <c r="E37" s="214">
        <v>0</v>
      </c>
      <c r="F37" s="214">
        <v>0</v>
      </c>
      <c r="G37" s="216"/>
    </row>
    <row r="38" spans="1:7" ht="19.5" customHeight="1">
      <c r="A38" s="252"/>
      <c r="B38" s="207" t="s">
        <v>17</v>
      </c>
      <c r="C38" s="160" t="s">
        <v>1</v>
      </c>
      <c r="D38" s="207" t="s">
        <v>195</v>
      </c>
      <c r="E38" s="214">
        <v>0</v>
      </c>
      <c r="F38" s="214">
        <v>0</v>
      </c>
      <c r="G38" s="216"/>
    </row>
    <row r="39" spans="1:7" ht="19.5" customHeight="1">
      <c r="A39" s="252"/>
      <c r="B39" s="15" t="s">
        <v>106</v>
      </c>
      <c r="C39" s="151" t="s">
        <v>126</v>
      </c>
      <c r="D39" s="15" t="s">
        <v>107</v>
      </c>
      <c r="E39" s="214">
        <v>0</v>
      </c>
      <c r="F39" s="214">
        <v>0</v>
      </c>
      <c r="G39" s="216"/>
    </row>
    <row r="40" spans="1:7" ht="19.5" customHeight="1">
      <c r="A40" s="252"/>
      <c r="B40" s="15" t="s">
        <v>108</v>
      </c>
      <c r="C40" s="151" t="s">
        <v>126</v>
      </c>
      <c r="D40" s="15" t="s">
        <v>109</v>
      </c>
      <c r="E40" s="214">
        <v>0</v>
      </c>
      <c r="F40" s="214">
        <v>0</v>
      </c>
      <c r="G40" s="216"/>
    </row>
    <row r="41" spans="1:7" ht="19.5" customHeight="1">
      <c r="A41" s="252"/>
      <c r="B41" s="15" t="s">
        <v>184</v>
      </c>
      <c r="C41" s="151">
        <v>39549</v>
      </c>
      <c r="D41" s="15" t="s">
        <v>189</v>
      </c>
      <c r="E41" s="214">
        <v>0</v>
      </c>
      <c r="F41" s="214">
        <v>0</v>
      </c>
      <c r="G41" s="216"/>
    </row>
    <row r="42" spans="1:10" ht="19.5" customHeight="1">
      <c r="A42" s="252"/>
      <c r="B42" s="15" t="s">
        <v>185</v>
      </c>
      <c r="C42" s="151">
        <v>39549</v>
      </c>
      <c r="D42" s="15" t="s">
        <v>190</v>
      </c>
      <c r="E42" s="214">
        <v>0</v>
      </c>
      <c r="F42" s="214">
        <v>0</v>
      </c>
      <c r="G42" s="216"/>
      <c r="I42" s="1" t="s">
        <v>199</v>
      </c>
      <c r="J42" s="1" t="s">
        <v>206</v>
      </c>
    </row>
    <row r="43" spans="1:7" ht="19.5" customHeight="1">
      <c r="A43" s="252"/>
      <c r="B43" s="15" t="s">
        <v>200</v>
      </c>
      <c r="C43" s="15"/>
      <c r="D43" s="15" t="s">
        <v>201</v>
      </c>
      <c r="E43" s="214">
        <v>0</v>
      </c>
      <c r="F43" s="214">
        <v>0</v>
      </c>
      <c r="G43" s="216"/>
    </row>
    <row r="44" spans="1:7" ht="19.5" customHeight="1">
      <c r="A44" s="253"/>
      <c r="B44" s="254" t="s">
        <v>19</v>
      </c>
      <c r="C44" s="254"/>
      <c r="D44" s="254"/>
      <c r="E44" s="224">
        <f>SUM(E26:E43)</f>
        <v>3311.07</v>
      </c>
      <c r="F44" s="224">
        <f>SUM(F26:F43)</f>
        <v>3311.07</v>
      </c>
      <c r="G44" s="221"/>
    </row>
    <row r="45" spans="1:7" ht="19.5" customHeight="1">
      <c r="A45" s="255" t="s">
        <v>187</v>
      </c>
      <c r="B45" s="255"/>
      <c r="C45" s="255"/>
      <c r="D45" s="255"/>
      <c r="E45" s="255"/>
      <c r="F45" s="255"/>
      <c r="G45" s="222">
        <f>F24+F44</f>
        <v>15940.38</v>
      </c>
    </row>
    <row r="46" spans="1:7" ht="19.5" customHeight="1">
      <c r="A46" s="162"/>
      <c r="B46" s="6"/>
      <c r="C46" s="21"/>
      <c r="D46" s="6"/>
      <c r="E46" s="6"/>
      <c r="F46" s="163"/>
      <c r="G46" s="18"/>
    </row>
    <row r="47" spans="1:9" ht="18" customHeight="1">
      <c r="A47" s="6"/>
      <c r="B47" s="172" t="s">
        <v>186</v>
      </c>
      <c r="C47" s="173">
        <v>36220</v>
      </c>
      <c r="D47" s="172" t="s">
        <v>22</v>
      </c>
      <c r="E47" s="172"/>
      <c r="F47" s="201">
        <f>816.64-F11</f>
        <v>792.14</v>
      </c>
      <c r="G47" s="37"/>
      <c r="I47" s="1" t="s">
        <v>217</v>
      </c>
    </row>
    <row r="48" spans="1:7" ht="17.25" customHeight="1">
      <c r="A48" s="6"/>
      <c r="B48" s="172" t="s">
        <v>21</v>
      </c>
      <c r="C48" s="174" t="s">
        <v>18</v>
      </c>
      <c r="D48" s="175" t="s">
        <v>23</v>
      </c>
      <c r="E48" s="175"/>
      <c r="F48" s="176">
        <v>0</v>
      </c>
      <c r="G48" s="145"/>
    </row>
    <row r="49" spans="2:7" ht="12.75">
      <c r="B49" s="37"/>
      <c r="C49" s="9"/>
      <c r="D49" s="170"/>
      <c r="E49" s="170"/>
      <c r="F49" s="145"/>
      <c r="G49" s="6"/>
    </row>
    <row r="51" ht="12.75">
      <c r="D51" s="1" t="s">
        <v>218</v>
      </c>
    </row>
    <row r="52" ht="12.75">
      <c r="D52" s="1" t="s">
        <v>219</v>
      </c>
    </row>
    <row r="53" spans="4:6" ht="12.75">
      <c r="D53" s="6" t="s">
        <v>220</v>
      </c>
      <c r="E53" s="6"/>
      <c r="F53" s="1">
        <f>SUM(F51:F52)</f>
        <v>0</v>
      </c>
    </row>
  </sheetData>
  <sheetProtection/>
  <mergeCells count="10">
    <mergeCell ref="A25:C25"/>
    <mergeCell ref="A26:A44"/>
    <mergeCell ref="B44:D44"/>
    <mergeCell ref="A45:F45"/>
    <mergeCell ref="A1:G1"/>
    <mergeCell ref="A2:C2"/>
    <mergeCell ref="A3:A24"/>
    <mergeCell ref="C3:C11"/>
    <mergeCell ref="C13:C14"/>
    <mergeCell ref="B24:D24"/>
  </mergeCells>
  <printOptions/>
  <pageMargins left="0.5905511811023623" right="0.6692913385826772" top="0.7086614173228347" bottom="0.5511811023622047" header="0.5118110236220472" footer="0.5118110236220472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7109375" style="1" customWidth="1"/>
    <col min="2" max="2" width="9.57421875" style="2" customWidth="1"/>
    <col min="3" max="3" width="9.57421875" style="1" customWidth="1"/>
    <col min="4" max="4" width="36.7109375" style="1" customWidth="1"/>
    <col min="5" max="5" width="19.57421875" style="1" bestFit="1" customWidth="1"/>
    <col min="6" max="6" width="22.00390625" style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spans="1:6" ht="29.25" customHeight="1" thickBot="1">
      <c r="A1" s="265" t="s">
        <v>24</v>
      </c>
      <c r="B1" s="266"/>
      <c r="C1" s="266"/>
      <c r="D1" s="266"/>
      <c r="E1" s="266"/>
      <c r="F1" s="267"/>
    </row>
    <row r="2" spans="1:6" ht="24.75" customHeight="1" thickBot="1">
      <c r="A2" s="269" t="s">
        <v>25</v>
      </c>
      <c r="B2" s="263"/>
      <c r="C2" s="264"/>
      <c r="D2" s="269" t="s">
        <v>26</v>
      </c>
      <c r="E2" s="264"/>
      <c r="F2" s="22"/>
    </row>
    <row r="3" spans="1:6" ht="24.75" customHeight="1">
      <c r="A3" s="272" t="s">
        <v>51</v>
      </c>
      <c r="B3" s="197" t="s">
        <v>227</v>
      </c>
      <c r="C3" s="198">
        <v>0</v>
      </c>
      <c r="D3" s="117"/>
      <c r="E3" s="118">
        <f>20.81+1.8</f>
        <v>22.61</v>
      </c>
      <c r="F3" s="22"/>
    </row>
    <row r="4" spans="1:6" ht="24.75" customHeight="1">
      <c r="A4" s="273"/>
      <c r="B4" s="108" t="s">
        <v>230</v>
      </c>
      <c r="C4" s="33">
        <v>0</v>
      </c>
      <c r="D4" s="228"/>
      <c r="E4" s="229">
        <f>(24.89+29.06+35.05+2.15+2.51+3.03)+3435.72+1103.35+1067.31</f>
        <v>5703.07</v>
      </c>
      <c r="F4" s="22"/>
    </row>
    <row r="5" spans="1:6" ht="24.75" customHeight="1" thickBot="1">
      <c r="A5" s="273"/>
      <c r="B5" s="199">
        <v>2017</v>
      </c>
      <c r="C5" s="17">
        <v>0</v>
      </c>
      <c r="D5" s="15"/>
      <c r="E5" s="16">
        <f>(18496.61-18229.92)/12*13</f>
        <v>288.9141666666692</v>
      </c>
      <c r="F5" s="22"/>
    </row>
    <row r="6" spans="1:6" ht="24.75" customHeight="1" thickBot="1">
      <c r="A6" s="273"/>
      <c r="B6" s="232" t="s">
        <v>27</v>
      </c>
      <c r="C6" s="245"/>
      <c r="D6" s="233" t="s">
        <v>28</v>
      </c>
      <c r="E6" s="245"/>
      <c r="F6" s="13">
        <f>SUM(E3:E5)</f>
        <v>6014.594166666669</v>
      </c>
    </row>
    <row r="7" spans="1:8" ht="24.75" customHeight="1">
      <c r="A7" s="273"/>
      <c r="B7" s="9"/>
      <c r="C7" s="10"/>
      <c r="D7" s="270" t="s">
        <v>38</v>
      </c>
      <c r="E7" s="271"/>
      <c r="F7" s="13"/>
      <c r="H7" s="34"/>
    </row>
    <row r="8" spans="1:8" ht="24.75" customHeight="1" thickBot="1">
      <c r="A8" s="273"/>
      <c r="B8" s="24">
        <v>2016</v>
      </c>
      <c r="C8" s="17">
        <v>0</v>
      </c>
      <c r="D8" s="8"/>
      <c r="E8" s="25">
        <f>comparto!L14</f>
        <v>1510.2</v>
      </c>
      <c r="F8" s="22"/>
      <c r="H8" s="146"/>
    </row>
    <row r="9" spans="1:6" ht="24.75" customHeight="1" thickBot="1">
      <c r="A9" s="273"/>
      <c r="B9" s="232" t="s">
        <v>27</v>
      </c>
      <c r="C9" s="245"/>
      <c r="D9" s="263" t="s">
        <v>39</v>
      </c>
      <c r="E9" s="264"/>
      <c r="F9" s="29">
        <f>SUM(E8:E8)</f>
        <v>1510.2</v>
      </c>
    </row>
    <row r="10" spans="1:6" ht="24.75" customHeight="1" thickBot="1">
      <c r="A10" s="273"/>
      <c r="B10" s="28" t="s">
        <v>50</v>
      </c>
      <c r="C10" s="268" t="s">
        <v>49</v>
      </c>
      <c r="D10" s="233"/>
      <c r="E10" s="245"/>
      <c r="F10" s="27">
        <v>0</v>
      </c>
    </row>
    <row r="11" spans="1:6" ht="24.75" customHeight="1" thickBot="1">
      <c r="A11" s="274"/>
      <c r="B11" s="233" t="s">
        <v>52</v>
      </c>
      <c r="C11" s="233"/>
      <c r="D11" s="233"/>
      <c r="E11" s="245"/>
      <c r="F11" s="140">
        <f>F6+F9+F10</f>
        <v>7524.794166666668</v>
      </c>
    </row>
    <row r="12" spans="1:6" ht="24.75" customHeight="1" thickBot="1">
      <c r="A12" s="280" t="s">
        <v>29</v>
      </c>
      <c r="B12" s="263"/>
      <c r="C12" s="281"/>
      <c r="D12" s="5"/>
      <c r="E12" s="11"/>
      <c r="F12" s="12"/>
    </row>
    <row r="13" spans="1:6" ht="24.75" customHeight="1" thickBot="1">
      <c r="A13" s="278" t="s">
        <v>2</v>
      </c>
      <c r="B13" s="105" t="s">
        <v>30</v>
      </c>
      <c r="C13" s="14"/>
      <c r="D13" s="106" t="s">
        <v>56</v>
      </c>
      <c r="E13" s="140">
        <f>F33-(F11+E32)</f>
        <v>3865.585833333331</v>
      </c>
      <c r="F13" s="103"/>
    </row>
    <row r="14" spans="1:6" ht="24.75" customHeight="1">
      <c r="A14" s="247"/>
      <c r="B14" s="275" t="s">
        <v>31</v>
      </c>
      <c r="C14" s="30"/>
      <c r="D14" s="31" t="s">
        <v>53</v>
      </c>
      <c r="E14" s="107">
        <v>0</v>
      </c>
      <c r="F14" s="103"/>
    </row>
    <row r="15" spans="1:6" ht="24.75" customHeight="1">
      <c r="A15" s="247"/>
      <c r="B15" s="276"/>
      <c r="C15" s="10"/>
      <c r="D15" s="31" t="s">
        <v>32</v>
      </c>
      <c r="E15" s="23">
        <v>0</v>
      </c>
      <c r="F15" s="103"/>
    </row>
    <row r="16" spans="1:6" ht="24.75" customHeight="1">
      <c r="A16" s="247"/>
      <c r="B16" s="276"/>
      <c r="C16" s="10"/>
      <c r="D16" s="31" t="s">
        <v>33</v>
      </c>
      <c r="E16" s="23">
        <v>0</v>
      </c>
      <c r="F16" s="103"/>
    </row>
    <row r="17" spans="1:6" ht="24.75" customHeight="1">
      <c r="A17" s="247"/>
      <c r="B17" s="276"/>
      <c r="C17" s="10"/>
      <c r="D17" s="31" t="s">
        <v>146</v>
      </c>
      <c r="E17" s="23">
        <v>0</v>
      </c>
      <c r="F17" s="103"/>
    </row>
    <row r="18" spans="1:6" ht="24.75" customHeight="1">
      <c r="A18" s="247"/>
      <c r="B18" s="277"/>
      <c r="C18" s="32"/>
      <c r="D18" s="31" t="s">
        <v>34</v>
      </c>
      <c r="E18" s="23">
        <v>0</v>
      </c>
      <c r="F18" s="103"/>
    </row>
    <row r="19" spans="1:6" ht="24.75" customHeight="1">
      <c r="A19" s="247"/>
      <c r="B19" s="108" t="s">
        <v>35</v>
      </c>
      <c r="C19" s="33"/>
      <c r="D19" s="15" t="s">
        <v>231</v>
      </c>
      <c r="E19" s="23">
        <v>1000</v>
      </c>
      <c r="F19" s="103"/>
    </row>
    <row r="20" spans="1:8" ht="24.75" customHeight="1">
      <c r="A20" s="247"/>
      <c r="B20" s="100" t="s">
        <v>36</v>
      </c>
      <c r="C20" s="17"/>
      <c r="D20" s="15" t="s">
        <v>110</v>
      </c>
      <c r="E20" s="23">
        <f>1150</f>
        <v>1150</v>
      </c>
      <c r="F20" s="103"/>
      <c r="H20" s="146"/>
    </row>
    <row r="21" spans="1:8" ht="24.75" customHeight="1">
      <c r="A21" s="247"/>
      <c r="B21" s="109" t="s">
        <v>37</v>
      </c>
      <c r="C21" s="26"/>
      <c r="D21" s="15" t="s">
        <v>209</v>
      </c>
      <c r="E21" s="23">
        <v>0</v>
      </c>
      <c r="F21" s="103"/>
      <c r="G21" s="34"/>
      <c r="H21" s="146"/>
    </row>
    <row r="22" spans="1:8" ht="24.75" customHeight="1">
      <c r="A22" s="247"/>
      <c r="B22" s="110" t="s">
        <v>54</v>
      </c>
      <c r="C22" s="30"/>
      <c r="D22" s="31" t="s">
        <v>41</v>
      </c>
      <c r="E22" s="16">
        <v>0</v>
      </c>
      <c r="F22" s="103"/>
      <c r="H22" s="146"/>
    </row>
    <row r="23" spans="1:8" ht="24.75" customHeight="1">
      <c r="A23" s="247"/>
      <c r="B23" s="111"/>
      <c r="C23" s="32"/>
      <c r="D23" s="31" t="s">
        <v>40</v>
      </c>
      <c r="E23" s="16">
        <v>0</v>
      </c>
      <c r="F23" s="103"/>
      <c r="H23" s="146"/>
    </row>
    <row r="24" spans="1:8" ht="24.75" customHeight="1">
      <c r="A24" s="247"/>
      <c r="B24" s="112" t="s">
        <v>31</v>
      </c>
      <c r="C24" s="10"/>
      <c r="D24" s="31" t="s">
        <v>43</v>
      </c>
      <c r="E24" s="16">
        <v>0</v>
      </c>
      <c r="F24" s="103"/>
      <c r="H24" s="146"/>
    </row>
    <row r="25" spans="1:6" ht="24.75" customHeight="1">
      <c r="A25" s="247"/>
      <c r="B25" s="111"/>
      <c r="C25" s="32"/>
      <c r="D25" s="35" t="s">
        <v>42</v>
      </c>
      <c r="E25" s="16">
        <v>0</v>
      </c>
      <c r="F25" s="103"/>
    </row>
    <row r="26" spans="1:6" ht="24.75" customHeight="1">
      <c r="A26" s="247"/>
      <c r="B26" s="112"/>
      <c r="C26" s="10"/>
      <c r="D26" s="35" t="s">
        <v>208</v>
      </c>
      <c r="E26" s="16">
        <v>0</v>
      </c>
      <c r="F26" s="103"/>
    </row>
    <row r="27" spans="1:6" ht="24.75" customHeight="1">
      <c r="A27" s="247"/>
      <c r="B27" s="113"/>
      <c r="C27" s="10"/>
      <c r="D27" s="204" t="s">
        <v>221</v>
      </c>
      <c r="E27" s="16">
        <v>0</v>
      </c>
      <c r="F27" s="103"/>
    </row>
    <row r="28" spans="1:6" ht="24.75" customHeight="1">
      <c r="A28" s="247"/>
      <c r="B28" s="112" t="s">
        <v>55</v>
      </c>
      <c r="C28" s="10" t="s">
        <v>0</v>
      </c>
      <c r="D28" s="35" t="s">
        <v>207</v>
      </c>
      <c r="E28" s="16">
        <v>1649.21</v>
      </c>
      <c r="F28" s="103"/>
    </row>
    <row r="29" spans="1:6" ht="24.75" customHeight="1">
      <c r="A29" s="247"/>
      <c r="B29" s="112"/>
      <c r="C29" s="10"/>
      <c r="D29" s="35"/>
      <c r="E29" s="16">
        <v>0</v>
      </c>
      <c r="F29" s="103"/>
    </row>
    <row r="30" spans="1:6" ht="24.75" customHeight="1">
      <c r="A30" s="247"/>
      <c r="B30" s="112"/>
      <c r="C30" s="10"/>
      <c r="D30" s="15"/>
      <c r="E30" s="16">
        <v>0</v>
      </c>
      <c r="F30" s="103"/>
    </row>
    <row r="31" spans="1:6" ht="24.75" customHeight="1" thickBot="1">
      <c r="A31" s="247"/>
      <c r="B31" s="101" t="s">
        <v>99</v>
      </c>
      <c r="C31" s="114" t="s">
        <v>18</v>
      </c>
      <c r="D31" s="115" t="s">
        <v>125</v>
      </c>
      <c r="E31" s="116">
        <v>0</v>
      </c>
      <c r="F31" s="104"/>
    </row>
    <row r="32" spans="1:6" ht="24.75" customHeight="1" thickBot="1">
      <c r="A32" s="279"/>
      <c r="B32" s="232" t="s">
        <v>144</v>
      </c>
      <c r="C32" s="233"/>
      <c r="D32" s="233"/>
      <c r="E32" s="141">
        <f>SUM(E14:E31)</f>
        <v>3799.21</v>
      </c>
      <c r="F32" s="142">
        <f>SUM(E13:E31)</f>
        <v>7664.795833333331</v>
      </c>
    </row>
    <row r="33" spans="1:6" ht="26.25" customHeight="1" thickBot="1">
      <c r="A33" s="6"/>
      <c r="B33" s="6"/>
      <c r="C33" s="7"/>
      <c r="D33" s="3" t="s">
        <v>20</v>
      </c>
      <c r="E33" s="4"/>
      <c r="F33" s="143">
        <f>'costit f'!F46</f>
        <v>15189.59</v>
      </c>
    </row>
    <row r="34" spans="1:6" ht="19.5" customHeight="1">
      <c r="A34" s="6"/>
      <c r="B34" s="6"/>
      <c r="C34" s="7"/>
      <c r="D34" s="20"/>
      <c r="E34" s="36"/>
      <c r="F34" s="36"/>
    </row>
    <row r="35" ht="5.25" customHeight="1"/>
  </sheetData>
  <sheetProtection/>
  <mergeCells count="15">
    <mergeCell ref="A3:A11"/>
    <mergeCell ref="B14:B18"/>
    <mergeCell ref="A13:A32"/>
    <mergeCell ref="A2:C2"/>
    <mergeCell ref="A12:C12"/>
    <mergeCell ref="D6:E6"/>
    <mergeCell ref="D9:E9"/>
    <mergeCell ref="B11:E11"/>
    <mergeCell ref="A1:F1"/>
    <mergeCell ref="C10:E10"/>
    <mergeCell ref="B32:D32"/>
    <mergeCell ref="B6:C6"/>
    <mergeCell ref="B9:C9"/>
    <mergeCell ref="D2:E2"/>
    <mergeCell ref="D7:E7"/>
  </mergeCells>
  <printOptions/>
  <pageMargins left="0.5905511811023623" right="0.6692913385826772" top="0.7086614173228347" bottom="0.551181102362204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7109375" style="0" customWidth="1"/>
    <col min="2" max="2" width="5.140625" style="42" bestFit="1" customWidth="1"/>
    <col min="3" max="3" width="1.7109375" style="42" customWidth="1"/>
    <col min="4" max="4" width="9.28125" style="42" customWidth="1"/>
    <col min="5" max="5" width="1.7109375" style="42" customWidth="1"/>
    <col min="6" max="6" width="9.28125" style="0" bestFit="1" customWidth="1"/>
    <col min="7" max="7" width="1.7109375" style="0" customWidth="1"/>
    <col min="8" max="8" width="9.28125" style="0" bestFit="1" customWidth="1"/>
    <col min="9" max="9" width="1.7109375" style="0" customWidth="1"/>
    <col min="10" max="10" width="9.140625" style="42" customWidth="1"/>
    <col min="11" max="11" width="1.7109375" style="0" customWidth="1"/>
    <col min="12" max="12" width="18.7109375" style="0" customWidth="1"/>
    <col min="13" max="13" width="3.7109375" style="0" customWidth="1"/>
  </cols>
  <sheetData>
    <row r="1" spans="1:13" ht="12.75">
      <c r="A1" s="282" t="s">
        <v>194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8" customHeight="1">
      <c r="A2" s="65"/>
      <c r="B2" s="66"/>
      <c r="C2" s="66"/>
      <c r="D2" s="66"/>
      <c r="E2" s="66"/>
      <c r="F2" s="67"/>
      <c r="G2" s="67"/>
      <c r="H2" s="67"/>
      <c r="I2" s="67"/>
      <c r="J2" s="66"/>
      <c r="K2" s="67"/>
      <c r="L2" s="67"/>
      <c r="M2" s="68"/>
    </row>
    <row r="3" spans="1:13" ht="24.75" customHeight="1">
      <c r="A3" s="69"/>
      <c r="B3" s="41" t="s">
        <v>120</v>
      </c>
      <c r="C3" s="61"/>
      <c r="D3" s="17" t="s">
        <v>127</v>
      </c>
      <c r="E3" s="61"/>
      <c r="F3" s="120" t="s">
        <v>128</v>
      </c>
      <c r="G3" s="63"/>
      <c r="H3" s="41" t="s">
        <v>121</v>
      </c>
      <c r="I3" s="63"/>
      <c r="J3" s="41" t="s">
        <v>122</v>
      </c>
      <c r="K3" s="63"/>
      <c r="L3" s="41" t="s">
        <v>27</v>
      </c>
      <c r="M3" s="70"/>
    </row>
    <row r="4" spans="1:13" ht="12.75" customHeight="1">
      <c r="A4" s="69"/>
      <c r="B4" s="61"/>
      <c r="C4" s="61"/>
      <c r="D4" s="61"/>
      <c r="E4" s="61"/>
      <c r="F4" s="63"/>
      <c r="G4" s="63"/>
      <c r="H4" s="63"/>
      <c r="I4" s="63"/>
      <c r="J4" s="61"/>
      <c r="K4" s="63"/>
      <c r="L4" s="63"/>
      <c r="M4" s="70"/>
    </row>
    <row r="5" spans="1:13" ht="24.75" customHeight="1">
      <c r="A5" s="69"/>
      <c r="B5" s="41" t="s">
        <v>116</v>
      </c>
      <c r="C5" s="61"/>
      <c r="D5" s="121">
        <v>32.39</v>
      </c>
      <c r="E5" s="61"/>
      <c r="F5" s="39">
        <f>32.39-3.09</f>
        <v>29.3</v>
      </c>
      <c r="G5" s="62"/>
      <c r="H5" s="39">
        <f>F5*12</f>
        <v>351.6</v>
      </c>
      <c r="I5" s="62"/>
      <c r="J5" s="41">
        <v>0</v>
      </c>
      <c r="K5" s="63"/>
      <c r="L5" s="48">
        <f>H5*J5</f>
        <v>0</v>
      </c>
      <c r="M5" s="70"/>
    </row>
    <row r="6" spans="1:13" ht="24.75" customHeight="1">
      <c r="A6" s="69"/>
      <c r="B6" s="41"/>
      <c r="C6" s="61"/>
      <c r="D6" s="121"/>
      <c r="E6" s="61"/>
      <c r="F6" s="39"/>
      <c r="G6" s="62"/>
      <c r="H6" s="39"/>
      <c r="I6" s="62"/>
      <c r="J6" s="41"/>
      <c r="K6" s="63"/>
      <c r="L6" s="48"/>
      <c r="M6" s="70"/>
    </row>
    <row r="7" spans="1:13" ht="24.75" customHeight="1">
      <c r="A7" s="69"/>
      <c r="B7" s="41" t="s">
        <v>117</v>
      </c>
      <c r="C7" s="61"/>
      <c r="D7" s="121">
        <v>39.3</v>
      </c>
      <c r="E7" s="61"/>
      <c r="F7" s="39">
        <f>39.31-3.73</f>
        <v>35.580000000000005</v>
      </c>
      <c r="G7" s="62"/>
      <c r="H7" s="39">
        <f>F7*12</f>
        <v>426.96000000000004</v>
      </c>
      <c r="I7" s="62"/>
      <c r="J7" s="41">
        <v>1</v>
      </c>
      <c r="K7" s="63"/>
      <c r="L7" s="48">
        <f>H7*J7</f>
        <v>426.96000000000004</v>
      </c>
      <c r="M7" s="70"/>
    </row>
    <row r="8" spans="1:13" ht="24.75" customHeight="1">
      <c r="A8" s="69"/>
      <c r="B8" s="41"/>
      <c r="C8" s="61"/>
      <c r="D8" s="121"/>
      <c r="E8" s="61"/>
      <c r="F8" s="39"/>
      <c r="G8" s="62"/>
      <c r="H8" s="39"/>
      <c r="I8" s="62"/>
      <c r="J8" s="41"/>
      <c r="K8" s="63"/>
      <c r="L8" s="48"/>
      <c r="M8" s="70"/>
    </row>
    <row r="9" spans="1:13" ht="24.75" customHeight="1">
      <c r="A9" s="69"/>
      <c r="B9" s="41" t="s">
        <v>118</v>
      </c>
      <c r="C9" s="61"/>
      <c r="D9" s="121">
        <v>45.8</v>
      </c>
      <c r="E9" s="61"/>
      <c r="F9" s="39">
        <f>45.8-4.34</f>
        <v>41.459999999999994</v>
      </c>
      <c r="G9" s="62"/>
      <c r="H9" s="39">
        <f>F9*12</f>
        <v>497.5199999999999</v>
      </c>
      <c r="I9" s="62"/>
      <c r="J9" s="150">
        <v>1</v>
      </c>
      <c r="K9" s="63"/>
      <c r="L9" s="48">
        <f>H9*J9</f>
        <v>497.5199999999999</v>
      </c>
      <c r="M9" s="70"/>
    </row>
    <row r="10" spans="1:13" ht="24.75" customHeight="1">
      <c r="A10" s="69"/>
      <c r="B10" s="41" t="s">
        <v>118</v>
      </c>
      <c r="C10" s="61"/>
      <c r="D10" s="121">
        <v>45.8</v>
      </c>
      <c r="E10" s="61"/>
      <c r="F10" s="39">
        <f>45.8-4.34</f>
        <v>41.459999999999994</v>
      </c>
      <c r="G10" s="62"/>
      <c r="H10" s="39">
        <f>F10*12</f>
        <v>497.5199999999999</v>
      </c>
      <c r="I10" s="62"/>
      <c r="J10" s="41"/>
      <c r="K10" s="63"/>
      <c r="L10" s="48">
        <v>22.32</v>
      </c>
      <c r="M10" s="70"/>
    </row>
    <row r="11" spans="1:13" ht="24.75" customHeight="1">
      <c r="A11" s="69"/>
      <c r="B11" s="41" t="s">
        <v>119</v>
      </c>
      <c r="C11" s="61"/>
      <c r="D11" s="121">
        <v>51.9</v>
      </c>
      <c r="E11" s="61"/>
      <c r="F11" s="39">
        <f>51.9-4.95</f>
        <v>46.949999999999996</v>
      </c>
      <c r="G11" s="62"/>
      <c r="H11" s="39">
        <f>F11*12</f>
        <v>563.4</v>
      </c>
      <c r="I11" s="62"/>
      <c r="J11" s="41">
        <v>1</v>
      </c>
      <c r="K11" s="63"/>
      <c r="L11" s="48">
        <f>H11*J11</f>
        <v>563.4</v>
      </c>
      <c r="M11" s="70"/>
    </row>
    <row r="12" spans="1:13" ht="24.75" customHeight="1">
      <c r="A12" s="69"/>
      <c r="B12" s="41"/>
      <c r="C12" s="61"/>
      <c r="D12" s="121"/>
      <c r="E12" s="61"/>
      <c r="F12" s="39"/>
      <c r="G12" s="62"/>
      <c r="H12" s="39"/>
      <c r="I12" s="62"/>
      <c r="J12" s="41"/>
      <c r="K12" s="63"/>
      <c r="L12" s="48"/>
      <c r="M12" s="70"/>
    </row>
    <row r="13" spans="1:13" ht="24.75" customHeight="1">
      <c r="A13" s="69"/>
      <c r="B13" s="61"/>
      <c r="C13" s="61"/>
      <c r="D13" s="61"/>
      <c r="E13" s="61"/>
      <c r="F13" s="62"/>
      <c r="G13" s="62"/>
      <c r="H13" s="62"/>
      <c r="I13" s="62"/>
      <c r="J13" s="61"/>
      <c r="K13" s="63"/>
      <c r="L13" s="64"/>
      <c r="M13" s="70"/>
    </row>
    <row r="14" spans="1:13" ht="24.75" customHeight="1">
      <c r="A14" s="69"/>
      <c r="B14" s="61"/>
      <c r="C14" s="61"/>
      <c r="D14" s="61"/>
      <c r="E14" s="61"/>
      <c r="F14" s="63"/>
      <c r="G14" s="63"/>
      <c r="H14" s="63"/>
      <c r="I14" s="63"/>
      <c r="J14" s="61"/>
      <c r="K14" s="63"/>
      <c r="L14" s="48">
        <f>SUM(L5:L12)</f>
        <v>1510.2</v>
      </c>
      <c r="M14" s="70"/>
    </row>
    <row r="15" spans="1:13" ht="18" customHeight="1">
      <c r="A15" s="71"/>
      <c r="B15" s="72"/>
      <c r="C15" s="72"/>
      <c r="D15" s="72"/>
      <c r="E15" s="72"/>
      <c r="F15" s="73"/>
      <c r="G15" s="73"/>
      <c r="H15" s="73"/>
      <c r="I15" s="73"/>
      <c r="J15" s="72"/>
      <c r="K15" s="73"/>
      <c r="L15" s="73"/>
      <c r="M15" s="7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3.7109375" style="46" customWidth="1"/>
    <col min="2" max="2" width="3.28125" style="46" bestFit="1" customWidth="1"/>
    <col min="3" max="4" width="11.8515625" style="46" bestFit="1" customWidth="1"/>
    <col min="5" max="6" width="11.8515625" style="46" customWidth="1"/>
    <col min="7" max="7" width="2.7109375" style="46" customWidth="1"/>
    <col min="8" max="8" width="4.7109375" style="46" customWidth="1"/>
    <col min="9" max="9" width="12.7109375" style="46" customWidth="1"/>
    <col min="10" max="10" width="2.7109375" style="46" customWidth="1"/>
    <col min="11" max="11" width="4.7109375" style="46" customWidth="1"/>
    <col min="12" max="12" width="12.7109375" style="46" customWidth="1"/>
    <col min="13" max="13" width="2.7109375" style="46" customWidth="1"/>
    <col min="14" max="14" width="4.7109375" style="46" customWidth="1"/>
    <col min="15" max="15" width="12.7109375" style="46" customWidth="1"/>
    <col min="16" max="16" width="3.7109375" style="46" customWidth="1"/>
    <col min="17" max="17" width="4.7109375" style="46" customWidth="1"/>
    <col min="18" max="18" width="12.7109375" style="46" customWidth="1"/>
    <col min="19" max="19" width="3.7109375" style="46" customWidth="1"/>
    <col min="20" max="16384" width="9.140625" style="46" customWidth="1"/>
  </cols>
  <sheetData>
    <row r="1" spans="1:19" ht="18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ht="18" customHeight="1">
      <c r="A2" s="182"/>
      <c r="B2" s="283" t="s">
        <v>94</v>
      </c>
      <c r="C2" s="283"/>
      <c r="D2" s="283"/>
      <c r="E2" s="283"/>
      <c r="F2" s="283"/>
      <c r="G2" s="51"/>
      <c r="H2" s="283" t="s">
        <v>95</v>
      </c>
      <c r="I2" s="283"/>
      <c r="J2" s="51"/>
      <c r="K2" s="283" t="s">
        <v>96</v>
      </c>
      <c r="L2" s="283"/>
      <c r="M2" s="51"/>
      <c r="N2" s="283" t="s">
        <v>115</v>
      </c>
      <c r="O2" s="283"/>
      <c r="P2" s="51"/>
      <c r="Q2" s="283" t="s">
        <v>192</v>
      </c>
      <c r="R2" s="283"/>
      <c r="S2" s="183"/>
    </row>
    <row r="3" spans="1:19" ht="18" customHeight="1">
      <c r="A3" s="182"/>
      <c r="B3" s="54"/>
      <c r="C3" s="177">
        <v>0.04237268518518519</v>
      </c>
      <c r="D3" s="177">
        <v>0.042395833333333334</v>
      </c>
      <c r="E3" s="177">
        <v>0.042430555555555555</v>
      </c>
      <c r="F3" s="177">
        <v>0.04313657407407407</v>
      </c>
      <c r="G3" s="49"/>
      <c r="H3" s="55" t="s">
        <v>97</v>
      </c>
      <c r="I3" s="178" t="s">
        <v>98</v>
      </c>
      <c r="J3" s="52"/>
      <c r="K3" s="178" t="s">
        <v>97</v>
      </c>
      <c r="L3" s="55" t="s">
        <v>98</v>
      </c>
      <c r="M3" s="51"/>
      <c r="N3" s="178" t="s">
        <v>97</v>
      </c>
      <c r="O3" s="55" t="s">
        <v>98</v>
      </c>
      <c r="P3" s="51"/>
      <c r="Q3" s="178" t="s">
        <v>97</v>
      </c>
      <c r="R3" s="55" t="s">
        <v>98</v>
      </c>
      <c r="S3" s="183"/>
    </row>
    <row r="4" spans="1:19" ht="18" customHeight="1">
      <c r="A4" s="182"/>
      <c r="B4" s="49"/>
      <c r="C4" s="58"/>
      <c r="D4" s="58"/>
      <c r="E4" s="58"/>
      <c r="F4" s="58"/>
      <c r="G4" s="49"/>
      <c r="H4" s="51"/>
      <c r="I4" s="52"/>
      <c r="J4" s="52"/>
      <c r="K4" s="52"/>
      <c r="L4" s="51"/>
      <c r="M4" s="51"/>
      <c r="N4" s="52"/>
      <c r="O4" s="51"/>
      <c r="P4" s="51"/>
      <c r="Q4" s="52"/>
      <c r="R4" s="51"/>
      <c r="S4" s="183"/>
    </row>
    <row r="5" spans="1:19" ht="18" customHeight="1">
      <c r="A5" s="182"/>
      <c r="B5" s="54" t="s">
        <v>66</v>
      </c>
      <c r="C5" s="47">
        <v>42.35</v>
      </c>
      <c r="D5" s="47">
        <v>65.3</v>
      </c>
      <c r="E5" s="47">
        <f>27.35+35.23+10.27</f>
        <v>72.85</v>
      </c>
      <c r="F5" s="47">
        <v>72</v>
      </c>
      <c r="G5" s="49"/>
      <c r="H5" s="55"/>
      <c r="I5" s="56"/>
      <c r="J5" s="50"/>
      <c r="K5" s="55"/>
      <c r="L5" s="56"/>
      <c r="M5" s="50"/>
      <c r="N5" s="55"/>
      <c r="O5" s="56"/>
      <c r="P5" s="50"/>
      <c r="Q5" s="55"/>
      <c r="R5" s="56"/>
      <c r="S5" s="184"/>
    </row>
    <row r="6" spans="1:19" ht="18" customHeight="1">
      <c r="A6" s="182"/>
      <c r="B6" s="54" t="s">
        <v>67</v>
      </c>
      <c r="C6" s="47">
        <v>42.87</v>
      </c>
      <c r="D6" s="47">
        <v>65.85</v>
      </c>
      <c r="E6" s="47">
        <f>27.35+35.23+10.27</f>
        <v>72.85</v>
      </c>
      <c r="F6" s="47">
        <v>72</v>
      </c>
      <c r="G6" s="49"/>
      <c r="H6" s="55">
        <v>0</v>
      </c>
      <c r="I6" s="56">
        <f>(C6-C5)*13*H6</f>
        <v>0</v>
      </c>
      <c r="J6" s="50"/>
      <c r="K6" s="55">
        <v>0</v>
      </c>
      <c r="L6" s="56">
        <f>(D6-D5)*13*K6</f>
        <v>0</v>
      </c>
      <c r="M6" s="50"/>
      <c r="N6" s="55">
        <v>0</v>
      </c>
      <c r="O6" s="56">
        <f>(E6-E5)*13*N6</f>
        <v>0</v>
      </c>
      <c r="P6" s="50"/>
      <c r="Q6" s="55">
        <v>0</v>
      </c>
      <c r="R6" s="56">
        <f>(F6-F5)*13*Q6</f>
        <v>0</v>
      </c>
      <c r="S6" s="184"/>
    </row>
    <row r="7" spans="1:19" ht="18" customHeight="1">
      <c r="A7" s="182"/>
      <c r="B7" s="54" t="s">
        <v>68</v>
      </c>
      <c r="C7" s="47">
        <v>43.9</v>
      </c>
      <c r="D7" s="47">
        <v>67.18</v>
      </c>
      <c r="E7" s="47">
        <f>28.02+36.1+10.52</f>
        <v>74.64</v>
      </c>
      <c r="F7" s="47">
        <v>74</v>
      </c>
      <c r="G7" s="49"/>
      <c r="H7" s="55">
        <v>0</v>
      </c>
      <c r="I7" s="56">
        <f>(C7-C5)*13*H7</f>
        <v>0</v>
      </c>
      <c r="J7" s="50"/>
      <c r="K7" s="55">
        <v>0</v>
      </c>
      <c r="L7" s="56">
        <f>(D7-D5)*13*K7</f>
        <v>0</v>
      </c>
      <c r="M7" s="50"/>
      <c r="N7" s="55">
        <v>0</v>
      </c>
      <c r="O7" s="56">
        <f>(E7-E5)*13*N7</f>
        <v>0</v>
      </c>
      <c r="P7" s="50"/>
      <c r="Q7" s="55">
        <v>0</v>
      </c>
      <c r="R7" s="56">
        <f>(F7-F5)*13*Q7</f>
        <v>0</v>
      </c>
      <c r="S7" s="184"/>
    </row>
    <row r="8" spans="1:19" ht="18" customHeight="1">
      <c r="A8" s="182"/>
      <c r="B8" s="54" t="s">
        <v>69</v>
      </c>
      <c r="C8" s="47">
        <v>45.96</v>
      </c>
      <c r="D8" s="47">
        <v>68.57</v>
      </c>
      <c r="E8" s="47">
        <f>28.02+36.1+10.52</f>
        <v>74.64</v>
      </c>
      <c r="F8" s="47">
        <v>74</v>
      </c>
      <c r="G8" s="49"/>
      <c r="H8" s="55">
        <v>0</v>
      </c>
      <c r="I8" s="56">
        <f>(C8-C5)*13*H8</f>
        <v>0</v>
      </c>
      <c r="J8" s="50"/>
      <c r="K8" s="55">
        <v>0</v>
      </c>
      <c r="L8" s="56">
        <f>(D8-D5)*13*K8</f>
        <v>0</v>
      </c>
      <c r="M8" s="50"/>
      <c r="N8" s="55">
        <v>0</v>
      </c>
      <c r="O8" s="56">
        <f>(E8-E5)*13*N8</f>
        <v>0</v>
      </c>
      <c r="P8" s="50"/>
      <c r="Q8" s="55">
        <v>0</v>
      </c>
      <c r="R8" s="56">
        <f>(F8-F5)*13*Q8</f>
        <v>0</v>
      </c>
      <c r="S8" s="184"/>
    </row>
    <row r="9" spans="1:19" ht="18" customHeight="1">
      <c r="A9" s="182"/>
      <c r="B9" s="54" t="s">
        <v>70</v>
      </c>
      <c r="C9" s="47"/>
      <c r="D9" s="47"/>
      <c r="E9" s="47">
        <f>29.43+37.91+11.05</f>
        <v>78.39</v>
      </c>
      <c r="F9" s="47">
        <v>74</v>
      </c>
      <c r="G9" s="49"/>
      <c r="H9" s="55"/>
      <c r="I9" s="56"/>
      <c r="J9" s="50"/>
      <c r="K9" s="55"/>
      <c r="L9" s="56"/>
      <c r="M9" s="50"/>
      <c r="N9" s="55">
        <v>0</v>
      </c>
      <c r="O9" s="56">
        <f>(E9-E5)*13*N9</f>
        <v>0</v>
      </c>
      <c r="P9" s="50"/>
      <c r="Q9" s="55">
        <v>0</v>
      </c>
      <c r="R9" s="56">
        <f>(F9-F5)*13*Q9</f>
        <v>0</v>
      </c>
      <c r="S9" s="184"/>
    </row>
    <row r="10" spans="1:19" ht="18" customHeight="1">
      <c r="A10" s="182"/>
      <c r="B10" s="49"/>
      <c r="C10" s="53"/>
      <c r="D10" s="53"/>
      <c r="E10" s="53"/>
      <c r="F10" s="53"/>
      <c r="G10" s="49"/>
      <c r="H10" s="51"/>
      <c r="I10" s="50"/>
      <c r="J10" s="50"/>
      <c r="K10" s="51"/>
      <c r="L10" s="50"/>
      <c r="M10" s="50"/>
      <c r="N10" s="51"/>
      <c r="O10" s="50"/>
      <c r="P10" s="50"/>
      <c r="Q10" s="51"/>
      <c r="R10" s="50"/>
      <c r="S10" s="184"/>
    </row>
    <row r="11" spans="1:19" ht="18" customHeight="1">
      <c r="A11" s="182"/>
      <c r="B11" s="54" t="s">
        <v>72</v>
      </c>
      <c r="C11" s="47">
        <v>45.96</v>
      </c>
      <c r="D11" s="47">
        <v>68.9</v>
      </c>
      <c r="E11" s="47">
        <f>29.13+37.52+10.93</f>
        <v>77.58000000000001</v>
      </c>
      <c r="F11" s="47">
        <v>77</v>
      </c>
      <c r="G11" s="49"/>
      <c r="H11" s="55"/>
      <c r="I11" s="56"/>
      <c r="J11" s="50"/>
      <c r="K11" s="55"/>
      <c r="L11" s="56"/>
      <c r="M11" s="50"/>
      <c r="N11" s="55"/>
      <c r="O11" s="56"/>
      <c r="P11" s="50"/>
      <c r="Q11" s="55"/>
      <c r="R11" s="56"/>
      <c r="S11" s="184"/>
    </row>
    <row r="12" spans="1:19" ht="18" customHeight="1">
      <c r="A12" s="182"/>
      <c r="B12" s="54" t="s">
        <v>73</v>
      </c>
      <c r="C12" s="47">
        <v>45.96</v>
      </c>
      <c r="D12" s="47">
        <v>69.74</v>
      </c>
      <c r="E12" s="47">
        <f>29.13+37.52+10.93</f>
        <v>77.58000000000001</v>
      </c>
      <c r="F12" s="47">
        <v>77</v>
      </c>
      <c r="G12" s="49"/>
      <c r="H12" s="55">
        <v>0</v>
      </c>
      <c r="I12" s="56">
        <f>(C12-C11)*13*H12</f>
        <v>0</v>
      </c>
      <c r="J12" s="50"/>
      <c r="K12" s="55">
        <v>0</v>
      </c>
      <c r="L12" s="56">
        <f>(D12-D11)*13*K12</f>
        <v>0</v>
      </c>
      <c r="M12" s="50"/>
      <c r="N12" s="55">
        <v>1</v>
      </c>
      <c r="O12" s="56">
        <f>(E12-E11)*13*N12</f>
        <v>0</v>
      </c>
      <c r="P12" s="50"/>
      <c r="Q12" s="55">
        <v>0</v>
      </c>
      <c r="R12" s="56">
        <f>(F12-F11)*13*Q12</f>
        <v>0</v>
      </c>
      <c r="S12" s="184"/>
    </row>
    <row r="13" spans="1:19" ht="18" customHeight="1">
      <c r="A13" s="182"/>
      <c r="B13" s="54" t="s">
        <v>74</v>
      </c>
      <c r="C13" s="47">
        <v>45.96</v>
      </c>
      <c r="D13" s="47">
        <v>72.5</v>
      </c>
      <c r="E13" s="47">
        <f>30.87+39.77+11.59</f>
        <v>82.23</v>
      </c>
      <c r="F13" s="47">
        <v>81.4</v>
      </c>
      <c r="G13" s="49"/>
      <c r="H13" s="55">
        <v>0</v>
      </c>
      <c r="I13" s="56">
        <f>(C13-C11)*13*H13</f>
        <v>0</v>
      </c>
      <c r="J13" s="50"/>
      <c r="K13" s="55">
        <v>0</v>
      </c>
      <c r="L13" s="56">
        <f>(D13-D11)*13*K13</f>
        <v>0</v>
      </c>
      <c r="M13" s="50"/>
      <c r="N13" s="55">
        <v>0</v>
      </c>
      <c r="O13" s="56">
        <f>(E13-E11)*13*N13</f>
        <v>0</v>
      </c>
      <c r="P13" s="50"/>
      <c r="Q13" s="55">
        <v>0</v>
      </c>
      <c r="R13" s="56">
        <f>(F13-F11)*13*Q13</f>
        <v>0</v>
      </c>
      <c r="S13" s="184"/>
    </row>
    <row r="14" spans="1:19" ht="18" customHeight="1">
      <c r="A14" s="182"/>
      <c r="B14" s="54" t="s">
        <v>75</v>
      </c>
      <c r="C14" s="47">
        <v>48.03</v>
      </c>
      <c r="D14" s="47">
        <v>73.55</v>
      </c>
      <c r="E14" s="47">
        <f>30.87+39.77+11.59</f>
        <v>82.23</v>
      </c>
      <c r="F14" s="47">
        <v>81.4</v>
      </c>
      <c r="G14" s="49"/>
      <c r="H14" s="55">
        <v>0</v>
      </c>
      <c r="I14" s="56">
        <f>(C14-C11)*13*H14</f>
        <v>0</v>
      </c>
      <c r="J14" s="50"/>
      <c r="K14" s="55">
        <v>0</v>
      </c>
      <c r="L14" s="56">
        <f>(D14-D11)*13*K14</f>
        <v>0</v>
      </c>
      <c r="M14" s="50"/>
      <c r="N14" s="55">
        <v>0</v>
      </c>
      <c r="O14" s="56">
        <f>(E14-E11)*13*N14</f>
        <v>0</v>
      </c>
      <c r="P14" s="50"/>
      <c r="Q14" s="55">
        <v>0</v>
      </c>
      <c r="R14" s="56">
        <f>(F14-F11)*13*Q14</f>
        <v>0</v>
      </c>
      <c r="S14" s="184"/>
    </row>
    <row r="15" spans="1:19" ht="18" customHeight="1">
      <c r="A15" s="182"/>
      <c r="B15" s="54" t="s">
        <v>76</v>
      </c>
      <c r="C15" s="47">
        <v>49.06</v>
      </c>
      <c r="D15" s="47">
        <v>74.99</v>
      </c>
      <c r="E15" s="47">
        <f>30.87+39.77+11.59</f>
        <v>82.23</v>
      </c>
      <c r="F15" s="47">
        <v>81.4</v>
      </c>
      <c r="G15" s="49"/>
      <c r="H15" s="55">
        <v>0</v>
      </c>
      <c r="I15" s="56">
        <f>(C15-C11)*13*H15</f>
        <v>0</v>
      </c>
      <c r="J15" s="50"/>
      <c r="K15" s="55">
        <v>0</v>
      </c>
      <c r="L15" s="56">
        <f>(D15-D11)*13*K15</f>
        <v>0</v>
      </c>
      <c r="M15" s="50"/>
      <c r="N15" s="55">
        <v>0</v>
      </c>
      <c r="O15" s="56">
        <f>(E15-E11)*13*N15</f>
        <v>0</v>
      </c>
      <c r="P15" s="50"/>
      <c r="Q15" s="55">
        <v>0</v>
      </c>
      <c r="R15" s="56">
        <f>(F15-F11)*13*Q15</f>
        <v>0</v>
      </c>
      <c r="S15" s="184"/>
    </row>
    <row r="16" spans="1:19" ht="18" customHeight="1">
      <c r="A16" s="182"/>
      <c r="B16" s="54" t="s">
        <v>77</v>
      </c>
      <c r="C16" s="47">
        <v>49.58</v>
      </c>
      <c r="D16" s="47">
        <v>76.55</v>
      </c>
      <c r="E16" s="47">
        <f>30.87+39.77+11.59</f>
        <v>82.23</v>
      </c>
      <c r="F16" s="47">
        <v>81.4</v>
      </c>
      <c r="G16" s="49"/>
      <c r="H16" s="55">
        <v>0</v>
      </c>
      <c r="I16" s="56">
        <f>(C16-C11)*13*H16</f>
        <v>0</v>
      </c>
      <c r="J16" s="50"/>
      <c r="K16" s="55">
        <v>0</v>
      </c>
      <c r="L16" s="56">
        <f>(D16-D11)*13*K16</f>
        <v>0</v>
      </c>
      <c r="M16" s="50"/>
      <c r="N16" s="55">
        <v>0</v>
      </c>
      <c r="O16" s="56">
        <f>(E16-E11)*13*N16</f>
        <v>0</v>
      </c>
      <c r="P16" s="50"/>
      <c r="Q16" s="55">
        <v>0</v>
      </c>
      <c r="R16" s="56">
        <f>(F16-F11)*13*Q16</f>
        <v>0</v>
      </c>
      <c r="S16" s="184"/>
    </row>
    <row r="17" spans="1:19" ht="18" customHeight="1">
      <c r="A17" s="182"/>
      <c r="B17" s="54" t="s">
        <v>78</v>
      </c>
      <c r="C17" s="47"/>
      <c r="D17" s="47"/>
      <c r="E17" s="47">
        <f>34.32+44.22+12.89</f>
        <v>91.42999999999999</v>
      </c>
      <c r="F17" s="47">
        <v>92</v>
      </c>
      <c r="G17" s="49"/>
      <c r="H17" s="55"/>
      <c r="I17" s="56"/>
      <c r="J17" s="50"/>
      <c r="K17" s="55"/>
      <c r="L17" s="56"/>
      <c r="M17" s="50"/>
      <c r="N17" s="55">
        <v>0</v>
      </c>
      <c r="O17" s="56">
        <f>(E17-E11)*13*N17</f>
        <v>0</v>
      </c>
      <c r="P17" s="50"/>
      <c r="Q17" s="55">
        <v>0</v>
      </c>
      <c r="R17" s="56">
        <f>(F17-F11)*13*Q17</f>
        <v>0</v>
      </c>
      <c r="S17" s="184"/>
    </row>
    <row r="18" spans="1:19" ht="18" customHeight="1">
      <c r="A18" s="182"/>
      <c r="B18" s="49"/>
      <c r="C18" s="53"/>
      <c r="D18" s="53"/>
      <c r="E18" s="53"/>
      <c r="F18" s="53"/>
      <c r="G18" s="49"/>
      <c r="H18" s="51"/>
      <c r="I18" s="50"/>
      <c r="J18" s="50"/>
      <c r="K18" s="51"/>
      <c r="L18" s="50"/>
      <c r="M18" s="50"/>
      <c r="N18" s="51"/>
      <c r="O18" s="50"/>
      <c r="P18" s="50"/>
      <c r="Q18" s="51"/>
      <c r="R18" s="50"/>
      <c r="S18" s="184"/>
    </row>
    <row r="19" spans="1:19" ht="18" customHeight="1">
      <c r="A19" s="182"/>
      <c r="B19" s="54" t="s">
        <v>74</v>
      </c>
      <c r="C19" s="47">
        <v>45.96</v>
      </c>
      <c r="D19" s="47">
        <v>72.5</v>
      </c>
      <c r="E19" s="47">
        <f>30.87+39.77+11.59</f>
        <v>82.23</v>
      </c>
      <c r="F19" s="47">
        <v>81.4</v>
      </c>
      <c r="G19" s="49"/>
      <c r="H19" s="55"/>
      <c r="I19" s="56"/>
      <c r="J19" s="50"/>
      <c r="K19" s="55"/>
      <c r="L19" s="56"/>
      <c r="M19" s="50"/>
      <c r="N19" s="55"/>
      <c r="O19" s="56"/>
      <c r="P19" s="50"/>
      <c r="Q19" s="55"/>
      <c r="R19" s="56"/>
      <c r="S19" s="184"/>
    </row>
    <row r="20" spans="1:19" ht="18" customHeight="1">
      <c r="A20" s="182"/>
      <c r="B20" s="54" t="s">
        <v>75</v>
      </c>
      <c r="C20" s="47">
        <v>48.03</v>
      </c>
      <c r="D20" s="47">
        <v>73.55</v>
      </c>
      <c r="E20" s="47">
        <f>30.87+39.77+11.59</f>
        <v>82.23</v>
      </c>
      <c r="F20" s="47">
        <v>81.4</v>
      </c>
      <c r="G20" s="49"/>
      <c r="H20" s="55">
        <v>0</v>
      </c>
      <c r="I20" s="56">
        <f>(C20-C19)*13*H20</f>
        <v>0</v>
      </c>
      <c r="J20" s="50"/>
      <c r="K20" s="55">
        <v>0</v>
      </c>
      <c r="L20" s="56">
        <f>(D20-D19)*13*K20</f>
        <v>0</v>
      </c>
      <c r="M20" s="50"/>
      <c r="N20" s="55">
        <v>0</v>
      </c>
      <c r="O20" s="56">
        <f>(E20-E19)*13*N20</f>
        <v>0</v>
      </c>
      <c r="P20" s="50"/>
      <c r="Q20" s="55">
        <v>0</v>
      </c>
      <c r="R20" s="56">
        <f>(F20-F19)*13*Q20</f>
        <v>0</v>
      </c>
      <c r="S20" s="184"/>
    </row>
    <row r="21" spans="1:19" ht="18" customHeight="1">
      <c r="A21" s="182"/>
      <c r="B21" s="54" t="s">
        <v>76</v>
      </c>
      <c r="C21" s="47">
        <v>49.06</v>
      </c>
      <c r="D21" s="47">
        <v>74.99</v>
      </c>
      <c r="E21" s="47">
        <f>30.87+39.77+11.59</f>
        <v>82.23</v>
      </c>
      <c r="F21" s="47">
        <v>81.4</v>
      </c>
      <c r="G21" s="49"/>
      <c r="H21" s="55">
        <v>0</v>
      </c>
      <c r="I21" s="56">
        <f>(C21-C19)*13*H21</f>
        <v>0</v>
      </c>
      <c r="J21" s="50"/>
      <c r="K21" s="55">
        <v>0</v>
      </c>
      <c r="L21" s="56">
        <f>(D21-D19)*13*K21</f>
        <v>0</v>
      </c>
      <c r="M21" s="50"/>
      <c r="N21" s="55">
        <v>0</v>
      </c>
      <c r="O21" s="56">
        <f>(E21-E19)*13*N21</f>
        <v>0</v>
      </c>
      <c r="P21" s="50"/>
      <c r="Q21" s="55">
        <v>0</v>
      </c>
      <c r="R21" s="56">
        <f>(F21-F19)*13*Q21</f>
        <v>0</v>
      </c>
      <c r="S21" s="184"/>
    </row>
    <row r="22" spans="1:19" ht="18" customHeight="1">
      <c r="A22" s="182"/>
      <c r="B22" s="54" t="s">
        <v>77</v>
      </c>
      <c r="C22" s="47">
        <v>49.58</v>
      </c>
      <c r="D22" s="47">
        <v>76.55</v>
      </c>
      <c r="E22" s="47">
        <f>30.87+39.77+11.59</f>
        <v>82.23</v>
      </c>
      <c r="F22" s="47">
        <v>81.4</v>
      </c>
      <c r="G22" s="49"/>
      <c r="H22" s="55">
        <v>0</v>
      </c>
      <c r="I22" s="56">
        <f>(C22-C19)*13*H22</f>
        <v>0</v>
      </c>
      <c r="J22" s="50"/>
      <c r="K22" s="55">
        <v>0</v>
      </c>
      <c r="L22" s="56">
        <f>(D22-D19)*13*K22</f>
        <v>0</v>
      </c>
      <c r="M22" s="50"/>
      <c r="N22" s="55">
        <v>0</v>
      </c>
      <c r="O22" s="56">
        <f>(E22-E19)*13*N22</f>
        <v>0</v>
      </c>
      <c r="P22" s="50"/>
      <c r="Q22" s="55">
        <v>0</v>
      </c>
      <c r="R22" s="56">
        <f>(F22-F19)*13*Q22</f>
        <v>0</v>
      </c>
      <c r="S22" s="184"/>
    </row>
    <row r="23" spans="1:19" ht="18" customHeight="1">
      <c r="A23" s="182"/>
      <c r="B23" s="54" t="s">
        <v>78</v>
      </c>
      <c r="C23" s="47"/>
      <c r="D23" s="47"/>
      <c r="E23" s="47">
        <f>34.32+44.22+12.89</f>
        <v>91.42999999999999</v>
      </c>
      <c r="F23" s="47">
        <v>92</v>
      </c>
      <c r="G23" s="49"/>
      <c r="H23" s="55"/>
      <c r="I23" s="56"/>
      <c r="J23" s="50"/>
      <c r="K23" s="55"/>
      <c r="L23" s="56"/>
      <c r="M23" s="50"/>
      <c r="N23" s="55">
        <v>0</v>
      </c>
      <c r="O23" s="56">
        <f>(E23-E19)*13*N23</f>
        <v>0</v>
      </c>
      <c r="P23" s="50"/>
      <c r="Q23" s="55">
        <v>0</v>
      </c>
      <c r="R23" s="56">
        <f>(F23-F19)*13*Q23</f>
        <v>0</v>
      </c>
      <c r="S23" s="184"/>
    </row>
    <row r="24" spans="1:19" ht="18" customHeight="1">
      <c r="A24" s="182"/>
      <c r="B24" s="49"/>
      <c r="C24" s="53"/>
      <c r="D24" s="53"/>
      <c r="E24" s="53"/>
      <c r="F24" s="53"/>
      <c r="G24" s="49"/>
      <c r="H24" s="51"/>
      <c r="I24" s="50"/>
      <c r="J24" s="50"/>
      <c r="K24" s="51"/>
      <c r="L24" s="50"/>
      <c r="M24" s="50"/>
      <c r="N24" s="51"/>
      <c r="O24" s="50"/>
      <c r="P24" s="50"/>
      <c r="Q24" s="51"/>
      <c r="R24" s="50"/>
      <c r="S24" s="184"/>
    </row>
    <row r="25" spans="1:19" ht="18" customHeight="1">
      <c r="A25" s="182"/>
      <c r="B25" s="54" t="s">
        <v>80</v>
      </c>
      <c r="C25" s="47">
        <v>49.58</v>
      </c>
      <c r="D25" s="47">
        <v>77.11</v>
      </c>
      <c r="E25" s="47">
        <f>33.79+43.53+12.68</f>
        <v>90</v>
      </c>
      <c r="F25" s="47">
        <v>91</v>
      </c>
      <c r="G25" s="49"/>
      <c r="H25" s="55"/>
      <c r="I25" s="56"/>
      <c r="J25" s="50"/>
      <c r="K25" s="55"/>
      <c r="L25" s="56"/>
      <c r="M25" s="50"/>
      <c r="N25" s="55"/>
      <c r="O25" s="56"/>
      <c r="P25" s="50"/>
      <c r="Q25" s="55"/>
      <c r="R25" s="56"/>
      <c r="S25" s="184"/>
    </row>
    <row r="26" spans="1:19" ht="18" customHeight="1">
      <c r="A26" s="182"/>
      <c r="B26" s="54" t="s">
        <v>81</v>
      </c>
      <c r="C26" s="47">
        <v>52.16</v>
      </c>
      <c r="D26" s="47">
        <v>78.74</v>
      </c>
      <c r="E26" s="47">
        <f>33.79+43.53+12.68</f>
        <v>90</v>
      </c>
      <c r="F26" s="47">
        <v>91</v>
      </c>
      <c r="G26" s="49"/>
      <c r="H26" s="55">
        <v>0</v>
      </c>
      <c r="I26" s="56">
        <f>(C26-C25)*13*H26</f>
        <v>0</v>
      </c>
      <c r="J26" s="50"/>
      <c r="K26" s="55">
        <v>0</v>
      </c>
      <c r="L26" s="56">
        <f>(D26-D25)*13*K26</f>
        <v>0</v>
      </c>
      <c r="M26" s="50"/>
      <c r="N26" s="55">
        <v>0</v>
      </c>
      <c r="O26" s="56">
        <f>(E26-E25)*13*N26</f>
        <v>0</v>
      </c>
      <c r="P26" s="50"/>
      <c r="Q26" s="55">
        <v>0</v>
      </c>
      <c r="R26" s="56">
        <f>(F26-F25)*13*Q26</f>
        <v>0</v>
      </c>
      <c r="S26" s="184"/>
    </row>
    <row r="27" spans="1:19" ht="18" customHeight="1">
      <c r="A27" s="182"/>
      <c r="B27" s="54" t="s">
        <v>82</v>
      </c>
      <c r="C27" s="47">
        <v>56.29</v>
      </c>
      <c r="D27" s="47">
        <v>81.09</v>
      </c>
      <c r="E27" s="47">
        <f>34.79+44.82+13.06</f>
        <v>92.67</v>
      </c>
      <c r="F27" s="47">
        <v>92</v>
      </c>
      <c r="G27" s="49"/>
      <c r="H27" s="55">
        <v>0</v>
      </c>
      <c r="I27" s="56">
        <f>(C27-C25)*13*H27</f>
        <v>0</v>
      </c>
      <c r="J27" s="50"/>
      <c r="K27" s="55">
        <v>0</v>
      </c>
      <c r="L27" s="56">
        <f>(D27-D25)*13*K27</f>
        <v>0</v>
      </c>
      <c r="M27" s="50"/>
      <c r="N27" s="55">
        <v>0</v>
      </c>
      <c r="O27" s="56">
        <f>(E27-E25)*13*N27</f>
        <v>0</v>
      </c>
      <c r="P27" s="50"/>
      <c r="Q27" s="55">
        <v>0</v>
      </c>
      <c r="R27" s="56">
        <f>(F27-F25)*13*Q27</f>
        <v>0</v>
      </c>
      <c r="S27" s="184"/>
    </row>
    <row r="28" spans="1:19" ht="18" customHeight="1">
      <c r="A28" s="182"/>
      <c r="B28" s="54" t="s">
        <v>83</v>
      </c>
      <c r="C28" s="47">
        <v>59.91</v>
      </c>
      <c r="D28" s="47">
        <v>84.09</v>
      </c>
      <c r="E28" s="47">
        <f>34.79+44.82+13.06</f>
        <v>92.67</v>
      </c>
      <c r="F28" s="47">
        <v>92</v>
      </c>
      <c r="G28" s="49"/>
      <c r="H28" s="55">
        <v>0</v>
      </c>
      <c r="I28" s="56">
        <f>(C28-C25)*13*H28</f>
        <v>0</v>
      </c>
      <c r="J28" s="50"/>
      <c r="K28" s="55">
        <v>0</v>
      </c>
      <c r="L28" s="56">
        <f>(D28-D25)*13*K28</f>
        <v>0</v>
      </c>
      <c r="M28" s="50"/>
      <c r="N28" s="55">
        <v>0</v>
      </c>
      <c r="O28" s="56">
        <f>(E28-E25)*13*N28</f>
        <v>0</v>
      </c>
      <c r="P28" s="50"/>
      <c r="Q28" s="55">
        <v>0</v>
      </c>
      <c r="R28" s="56">
        <f>(F28-F25)*13*Q28</f>
        <v>0</v>
      </c>
      <c r="S28" s="184"/>
    </row>
    <row r="29" spans="1:19" ht="18" customHeight="1">
      <c r="A29" s="182"/>
      <c r="B29" s="54" t="s">
        <v>84</v>
      </c>
      <c r="C29" s="47"/>
      <c r="D29" s="47"/>
      <c r="E29" s="47">
        <f>36.37+46.85+13.65</f>
        <v>96.87</v>
      </c>
      <c r="F29" s="47">
        <v>95</v>
      </c>
      <c r="G29" s="49"/>
      <c r="H29" s="55"/>
      <c r="I29" s="56"/>
      <c r="J29" s="50"/>
      <c r="K29" s="55"/>
      <c r="L29" s="56"/>
      <c r="M29" s="50"/>
      <c r="N29" s="55">
        <v>0</v>
      </c>
      <c r="O29" s="56">
        <f>(E29-E25)*13*N29</f>
        <v>0</v>
      </c>
      <c r="P29" s="50"/>
      <c r="Q29" s="55">
        <v>0</v>
      </c>
      <c r="R29" s="56">
        <f>(F29-F25)*13*Q29</f>
        <v>0</v>
      </c>
      <c r="S29" s="184"/>
    </row>
    <row r="30" spans="1:19" ht="18" customHeight="1">
      <c r="A30" s="182"/>
      <c r="B30" s="49"/>
      <c r="C30" s="53"/>
      <c r="D30" s="53"/>
      <c r="E30" s="53"/>
      <c r="F30" s="53"/>
      <c r="G30" s="49"/>
      <c r="H30" s="51"/>
      <c r="I30" s="50"/>
      <c r="J30" s="50"/>
      <c r="K30" s="51"/>
      <c r="L30" s="50"/>
      <c r="M30" s="50"/>
      <c r="N30" s="51"/>
      <c r="O30" s="50"/>
      <c r="P30" s="50"/>
      <c r="Q30" s="51"/>
      <c r="R30" s="50"/>
      <c r="S30" s="184"/>
    </row>
    <row r="31" spans="1:19" ht="18" customHeight="1">
      <c r="A31" s="182"/>
      <c r="B31" s="54" t="s">
        <v>86</v>
      </c>
      <c r="C31" s="47">
        <v>59.91</v>
      </c>
      <c r="D31" s="47">
        <v>84.2</v>
      </c>
      <c r="E31" s="47">
        <f>35.63+45.9+13.38</f>
        <v>94.91</v>
      </c>
      <c r="F31" s="47">
        <v>94</v>
      </c>
      <c r="G31" s="49"/>
      <c r="H31" s="55"/>
      <c r="I31" s="56"/>
      <c r="J31" s="50"/>
      <c r="K31" s="55"/>
      <c r="L31" s="56"/>
      <c r="M31" s="50"/>
      <c r="N31" s="55">
        <v>0</v>
      </c>
      <c r="O31" s="56"/>
      <c r="P31" s="50"/>
      <c r="Q31" s="55">
        <v>0</v>
      </c>
      <c r="R31" s="56"/>
      <c r="S31" s="184"/>
    </row>
    <row r="32" spans="1:19" ht="18" customHeight="1">
      <c r="A32" s="182"/>
      <c r="B32" s="54" t="s">
        <v>87</v>
      </c>
      <c r="C32" s="47">
        <v>59.91</v>
      </c>
      <c r="D32" s="47">
        <v>88.86</v>
      </c>
      <c r="E32" s="47">
        <f>35.63+45.9+13.38</f>
        <v>94.91</v>
      </c>
      <c r="F32" s="47">
        <v>94</v>
      </c>
      <c r="G32" s="49"/>
      <c r="H32" s="55">
        <v>0</v>
      </c>
      <c r="I32" s="56">
        <f>(C32-C31)*13*H32</f>
        <v>0</v>
      </c>
      <c r="J32" s="50"/>
      <c r="K32" s="55">
        <v>0</v>
      </c>
      <c r="L32" s="56">
        <f>(D32-D31)*13*K32</f>
        <v>0</v>
      </c>
      <c r="M32" s="50"/>
      <c r="N32" s="55">
        <v>0</v>
      </c>
      <c r="O32" s="56">
        <f>(E32-E31)*13*N32</f>
        <v>0</v>
      </c>
      <c r="P32" s="50"/>
      <c r="Q32" s="55">
        <v>0</v>
      </c>
      <c r="R32" s="56">
        <f>(F32-F31)*13*Q32</f>
        <v>0</v>
      </c>
      <c r="S32" s="184"/>
    </row>
    <row r="33" spans="1:19" ht="18" customHeight="1">
      <c r="A33" s="182"/>
      <c r="B33" s="54" t="s">
        <v>88</v>
      </c>
      <c r="C33" s="47">
        <v>59.91</v>
      </c>
      <c r="D33" s="47">
        <v>97.21</v>
      </c>
      <c r="E33" s="47">
        <f>38.89+51.39+14.98</f>
        <v>105.26</v>
      </c>
      <c r="F33" s="47">
        <v>103.8</v>
      </c>
      <c r="G33" s="49"/>
      <c r="H33" s="55">
        <v>0</v>
      </c>
      <c r="I33" s="56">
        <f>(C33-C31)*13*H33</f>
        <v>0</v>
      </c>
      <c r="J33" s="50"/>
      <c r="K33" s="55">
        <v>0</v>
      </c>
      <c r="L33" s="56">
        <f>(D33-D31)*13*K33</f>
        <v>0</v>
      </c>
      <c r="M33" s="50"/>
      <c r="N33" s="55">
        <v>0</v>
      </c>
      <c r="O33" s="56">
        <f>(E33-E31)*13*N33</f>
        <v>0</v>
      </c>
      <c r="P33" s="50"/>
      <c r="Q33" s="55">
        <v>0</v>
      </c>
      <c r="R33" s="56">
        <f>(F33-F31)*13*Q33</f>
        <v>0</v>
      </c>
      <c r="S33" s="184"/>
    </row>
    <row r="34" spans="1:19" ht="18" customHeight="1">
      <c r="A34" s="182"/>
      <c r="B34" s="54" t="s">
        <v>89</v>
      </c>
      <c r="C34" s="47">
        <v>67.14</v>
      </c>
      <c r="D34" s="47">
        <v>102.03</v>
      </c>
      <c r="E34" s="47">
        <f>38.89+51.39+14.98</f>
        <v>105.26</v>
      </c>
      <c r="F34" s="47">
        <v>103.8</v>
      </c>
      <c r="G34" s="49"/>
      <c r="H34" s="55">
        <v>0</v>
      </c>
      <c r="I34" s="56">
        <f>(C34-C283)*13*H34</f>
        <v>0</v>
      </c>
      <c r="J34" s="50"/>
      <c r="K34" s="55">
        <v>0</v>
      </c>
      <c r="L34" s="56">
        <f>(D34-D31)*13*K34</f>
        <v>0</v>
      </c>
      <c r="M34" s="50"/>
      <c r="N34" s="55">
        <v>0</v>
      </c>
      <c r="O34" s="56">
        <f>(E34-E31)*13*N34</f>
        <v>0</v>
      </c>
      <c r="P34" s="50"/>
      <c r="Q34" s="55">
        <v>0</v>
      </c>
      <c r="R34" s="56">
        <f>(F34-F31)*13*Q34</f>
        <v>0</v>
      </c>
      <c r="S34" s="184"/>
    </row>
    <row r="35" spans="1:19" ht="18" customHeight="1">
      <c r="A35" s="182"/>
      <c r="B35" s="54" t="s">
        <v>90</v>
      </c>
      <c r="C35" s="47">
        <v>70.24</v>
      </c>
      <c r="D35" s="47">
        <v>115.28</v>
      </c>
      <c r="E35" s="47">
        <f>38.89+51.39+14.98</f>
        <v>105.26</v>
      </c>
      <c r="F35" s="47">
        <v>103.8</v>
      </c>
      <c r="G35" s="49"/>
      <c r="H35" s="55">
        <v>0</v>
      </c>
      <c r="I35" s="56">
        <f>(C35-C31)*13*H35</f>
        <v>0</v>
      </c>
      <c r="J35" s="50"/>
      <c r="K35" s="55">
        <v>0</v>
      </c>
      <c r="L35" s="56">
        <f>(D35-D31)*13*K35</f>
        <v>0</v>
      </c>
      <c r="M35" s="50"/>
      <c r="N35" s="55">
        <v>0</v>
      </c>
      <c r="O35" s="56">
        <f>(E35-E31)*13*N35</f>
        <v>0</v>
      </c>
      <c r="P35" s="50"/>
      <c r="Q35" s="55">
        <v>0</v>
      </c>
      <c r="R35" s="56">
        <f>(F35-F31)*13*Q35</f>
        <v>0</v>
      </c>
      <c r="S35" s="184"/>
    </row>
    <row r="36" spans="1:19" ht="18" customHeight="1">
      <c r="A36" s="182"/>
      <c r="B36" s="54" t="s">
        <v>91</v>
      </c>
      <c r="C36" s="47"/>
      <c r="D36" s="47"/>
      <c r="E36" s="47">
        <f>45.35+58.43+17.03</f>
        <v>120.81</v>
      </c>
      <c r="F36" s="47">
        <v>118.5</v>
      </c>
      <c r="G36" s="49"/>
      <c r="H36" s="55"/>
      <c r="I36" s="56"/>
      <c r="J36" s="50"/>
      <c r="K36" s="55"/>
      <c r="L36" s="56"/>
      <c r="M36" s="50"/>
      <c r="N36" s="55">
        <v>0</v>
      </c>
      <c r="O36" s="56">
        <f>(E36-E31)*13*N36</f>
        <v>0</v>
      </c>
      <c r="P36" s="50"/>
      <c r="Q36" s="55">
        <v>0</v>
      </c>
      <c r="R36" s="56">
        <f>(F36-F31)*13*Q36</f>
        <v>0</v>
      </c>
      <c r="S36" s="184"/>
    </row>
    <row r="37" spans="1:19" ht="18" customHeight="1">
      <c r="A37" s="182"/>
      <c r="B37" s="49"/>
      <c r="C37" s="53"/>
      <c r="D37" s="53"/>
      <c r="E37" s="53"/>
      <c r="F37" s="53"/>
      <c r="G37" s="49"/>
      <c r="H37" s="51"/>
      <c r="I37" s="50"/>
      <c r="J37" s="50"/>
      <c r="K37" s="51"/>
      <c r="L37" s="50"/>
      <c r="M37" s="50"/>
      <c r="N37" s="51"/>
      <c r="O37" s="50"/>
      <c r="P37" s="50"/>
      <c r="Q37" s="51"/>
      <c r="R37" s="50"/>
      <c r="S37" s="184"/>
    </row>
    <row r="38" spans="1:19" ht="18" customHeight="1">
      <c r="A38" s="182"/>
      <c r="B38" s="54" t="s">
        <v>88</v>
      </c>
      <c r="C38" s="47">
        <v>59.91</v>
      </c>
      <c r="D38" s="47">
        <v>97.21</v>
      </c>
      <c r="E38" s="47">
        <f>38.89+51.39+14.98</f>
        <v>105.26</v>
      </c>
      <c r="F38" s="47">
        <v>103.8</v>
      </c>
      <c r="G38" s="49"/>
      <c r="H38" s="55"/>
      <c r="I38" s="56"/>
      <c r="J38" s="50"/>
      <c r="K38" s="55"/>
      <c r="L38" s="56"/>
      <c r="M38" s="50"/>
      <c r="N38" s="55">
        <v>0</v>
      </c>
      <c r="O38" s="56"/>
      <c r="P38" s="50"/>
      <c r="Q38" s="55">
        <v>0</v>
      </c>
      <c r="R38" s="56"/>
      <c r="S38" s="184"/>
    </row>
    <row r="39" spans="1:19" ht="18" customHeight="1">
      <c r="A39" s="182"/>
      <c r="B39" s="54" t="s">
        <v>89</v>
      </c>
      <c r="C39" s="47">
        <v>67.14</v>
      </c>
      <c r="D39" s="47">
        <v>102.03</v>
      </c>
      <c r="E39" s="47">
        <f>38.89+51.39+14.98</f>
        <v>105.26</v>
      </c>
      <c r="F39" s="47">
        <v>103.8</v>
      </c>
      <c r="G39" s="49"/>
      <c r="H39" s="55">
        <v>0</v>
      </c>
      <c r="I39" s="56">
        <f>(C39-C38)*13*H39</f>
        <v>0</v>
      </c>
      <c r="J39" s="50"/>
      <c r="K39" s="55">
        <v>0</v>
      </c>
      <c r="L39" s="56">
        <f>(D39-D38)*13*K39</f>
        <v>0</v>
      </c>
      <c r="M39" s="50"/>
      <c r="N39" s="55">
        <v>0</v>
      </c>
      <c r="O39" s="56">
        <f>(E39-E38)*13*N39</f>
        <v>0</v>
      </c>
      <c r="P39" s="50"/>
      <c r="Q39" s="55">
        <v>0</v>
      </c>
      <c r="R39" s="56">
        <f>(F39-F38)*13*Q39</f>
        <v>0</v>
      </c>
      <c r="S39" s="184"/>
    </row>
    <row r="40" spans="1:19" ht="18" customHeight="1">
      <c r="A40" s="182"/>
      <c r="B40" s="54" t="s">
        <v>90</v>
      </c>
      <c r="C40" s="47">
        <v>70.24</v>
      </c>
      <c r="D40" s="47">
        <v>115.28</v>
      </c>
      <c r="E40" s="47">
        <f>38.89+51.39+14.98</f>
        <v>105.26</v>
      </c>
      <c r="F40" s="47">
        <v>103.8</v>
      </c>
      <c r="G40" s="49"/>
      <c r="H40" s="55">
        <v>0</v>
      </c>
      <c r="I40" s="56">
        <f>(C40-C38)*13*H40</f>
        <v>0</v>
      </c>
      <c r="J40" s="50"/>
      <c r="K40" s="55">
        <v>0</v>
      </c>
      <c r="L40" s="56">
        <f>(D40-D38)*13*K40</f>
        <v>0</v>
      </c>
      <c r="M40" s="50"/>
      <c r="N40" s="55">
        <v>0</v>
      </c>
      <c r="O40" s="56">
        <f>(E40-E38)*13*N40</f>
        <v>0</v>
      </c>
      <c r="P40" s="50"/>
      <c r="Q40" s="55">
        <v>0</v>
      </c>
      <c r="R40" s="56">
        <f>(F40-F38)*13*Q40</f>
        <v>0</v>
      </c>
      <c r="S40" s="184"/>
    </row>
    <row r="41" spans="1:19" ht="18" customHeight="1">
      <c r="A41" s="182"/>
      <c r="B41" s="57" t="s">
        <v>91</v>
      </c>
      <c r="C41" s="47"/>
      <c r="D41" s="47"/>
      <c r="E41" s="47">
        <f>45.35+58.43+17.03</f>
        <v>120.81</v>
      </c>
      <c r="F41" s="47">
        <v>118.5</v>
      </c>
      <c r="G41" s="49"/>
      <c r="H41" s="55">
        <v>0</v>
      </c>
      <c r="I41" s="56">
        <f>(C41-C39)*13*H41</f>
        <v>0</v>
      </c>
      <c r="J41" s="50"/>
      <c r="K41" s="55">
        <v>0</v>
      </c>
      <c r="L41" s="56">
        <f>(D41-D39)*13*K41</f>
        <v>0</v>
      </c>
      <c r="M41" s="50"/>
      <c r="N41" s="55">
        <v>0</v>
      </c>
      <c r="O41" s="56">
        <f>(E41-E38)*13*N41</f>
        <v>0</v>
      </c>
      <c r="P41" s="50"/>
      <c r="Q41" s="55">
        <v>0</v>
      </c>
      <c r="R41" s="56">
        <f>(F41-F38)*13*Q41</f>
        <v>0</v>
      </c>
      <c r="S41" s="184"/>
    </row>
    <row r="42" spans="1:19" ht="18" customHeight="1">
      <c r="A42" s="182"/>
      <c r="B42" s="49"/>
      <c r="C42" s="53"/>
      <c r="D42" s="53"/>
      <c r="E42" s="53"/>
      <c r="F42" s="53"/>
      <c r="G42" s="49"/>
      <c r="H42" s="51"/>
      <c r="I42" s="50"/>
      <c r="J42" s="50"/>
      <c r="K42" s="51"/>
      <c r="L42" s="50"/>
      <c r="M42" s="50"/>
      <c r="N42" s="51"/>
      <c r="O42" s="50"/>
      <c r="P42" s="50"/>
      <c r="Q42" s="51"/>
      <c r="R42" s="50"/>
      <c r="S42" s="184"/>
    </row>
    <row r="43" spans="1:19" ht="25.5" customHeight="1">
      <c r="A43" s="182"/>
      <c r="B43" s="51"/>
      <c r="C43" s="51"/>
      <c r="D43" s="51"/>
      <c r="E43" s="51"/>
      <c r="F43" s="51"/>
      <c r="G43" s="51"/>
      <c r="H43" s="59">
        <f>SUM(H5:H42)</f>
        <v>0</v>
      </c>
      <c r="I43" s="60">
        <f>SUM(I5:I42)</f>
        <v>0</v>
      </c>
      <c r="J43" s="50"/>
      <c r="K43" s="59">
        <f>SUM(K5:K42)</f>
        <v>0</v>
      </c>
      <c r="L43" s="60">
        <f>SUM(L5:L42)</f>
        <v>0</v>
      </c>
      <c r="M43" s="50"/>
      <c r="N43" s="59">
        <f>SUM(N5:N42)</f>
        <v>1</v>
      </c>
      <c r="O43" s="60">
        <f>SUM(O5:O42)</f>
        <v>0</v>
      </c>
      <c r="P43" s="50"/>
      <c r="Q43" s="59">
        <f>SUM(Q5:Q42)</f>
        <v>0</v>
      </c>
      <c r="R43" s="60">
        <f>SUM(R5:R42)</f>
        <v>0</v>
      </c>
      <c r="S43" s="184"/>
    </row>
    <row r="44" spans="1:19" ht="18" customHeight="1" thickBot="1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</row>
  </sheetData>
  <sheetProtection/>
  <mergeCells count="5">
    <mergeCell ref="B2:F2"/>
    <mergeCell ref="Q2:R2"/>
    <mergeCell ref="H2:I2"/>
    <mergeCell ref="K2:L2"/>
    <mergeCell ref="N2:O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3" width="11.8515625" style="0" bestFit="1" customWidth="1"/>
    <col min="4" max="5" width="12.7109375" style="0" customWidth="1"/>
    <col min="7" max="8" width="12.7109375" style="0" customWidth="1"/>
  </cols>
  <sheetData>
    <row r="1" spans="1:8" ht="19.5" customHeight="1" thickBot="1">
      <c r="A1" s="284" t="s">
        <v>141</v>
      </c>
      <c r="B1" s="285"/>
      <c r="C1" s="285"/>
      <c r="D1" s="285"/>
      <c r="E1" s="285"/>
      <c r="F1" s="285"/>
      <c r="G1" s="285"/>
      <c r="H1" s="286"/>
    </row>
    <row r="2" spans="1:8" ht="19.5" customHeight="1">
      <c r="A2" s="124" t="s">
        <v>129</v>
      </c>
      <c r="B2" s="75"/>
      <c r="C2" s="76" t="s">
        <v>142</v>
      </c>
      <c r="D2" s="75" t="s">
        <v>130</v>
      </c>
      <c r="E2" s="75" t="s">
        <v>131</v>
      </c>
      <c r="F2" s="75" t="s">
        <v>132</v>
      </c>
      <c r="G2" s="130" t="s">
        <v>133</v>
      </c>
      <c r="H2" s="133">
        <v>0.2</v>
      </c>
    </row>
    <row r="3" spans="1:8" ht="19.5" customHeight="1">
      <c r="A3" s="125" t="s">
        <v>137</v>
      </c>
      <c r="B3" s="41" t="s">
        <v>86</v>
      </c>
      <c r="C3" s="39">
        <f>20398.71/12*13</f>
        <v>22098.6025</v>
      </c>
      <c r="D3" s="39">
        <v>0</v>
      </c>
      <c r="E3" s="39">
        <f>C3+D3</f>
        <v>22098.6025</v>
      </c>
      <c r="F3" s="122">
        <v>1</v>
      </c>
      <c r="G3" s="131">
        <f>E3-(E3*F3)</f>
        <v>0</v>
      </c>
      <c r="H3" s="134">
        <f>G3/100*20</f>
        <v>0</v>
      </c>
    </row>
    <row r="4" spans="1:8" ht="19.5" customHeight="1">
      <c r="A4" s="125"/>
      <c r="B4" s="41" t="s">
        <v>87</v>
      </c>
      <c r="C4" s="39">
        <f>21435.89/12*13</f>
        <v>23222.214166666665</v>
      </c>
      <c r="D4" s="39">
        <v>0</v>
      </c>
      <c r="E4" s="39">
        <f aca="true" t="shared" si="0" ref="E4:E34">C4+D4</f>
        <v>23222.214166666665</v>
      </c>
      <c r="F4" s="122">
        <v>1</v>
      </c>
      <c r="G4" s="131">
        <f aca="true" t="shared" si="1" ref="G4:G34">E4-(E4*F4)</f>
        <v>0</v>
      </c>
      <c r="H4" s="134">
        <f aca="true" t="shared" si="2" ref="H4:H34">G4/100*20</f>
        <v>0</v>
      </c>
    </row>
    <row r="5" spans="1:8" ht="19.5" customHeight="1">
      <c r="A5" s="126"/>
      <c r="B5" s="41" t="s">
        <v>88</v>
      </c>
      <c r="C5" s="39">
        <f>23492.14/12*13</f>
        <v>25449.818333333333</v>
      </c>
      <c r="D5" s="39">
        <v>0</v>
      </c>
      <c r="E5" s="39">
        <f t="shared" si="0"/>
        <v>25449.818333333333</v>
      </c>
      <c r="F5" s="122">
        <v>1</v>
      </c>
      <c r="G5" s="131">
        <f t="shared" si="1"/>
        <v>0</v>
      </c>
      <c r="H5" s="134">
        <f t="shared" si="2"/>
        <v>0</v>
      </c>
    </row>
    <row r="6" spans="1:8" ht="19.5" customHeight="1">
      <c r="A6" s="125"/>
      <c r="B6" s="41" t="s">
        <v>89</v>
      </c>
      <c r="C6" s="39">
        <f>24531.76/12*13</f>
        <v>26576.073333333334</v>
      </c>
      <c r="D6" s="39">
        <v>0</v>
      </c>
      <c r="E6" s="39">
        <f t="shared" si="0"/>
        <v>26576.073333333334</v>
      </c>
      <c r="F6" s="122">
        <v>1</v>
      </c>
      <c r="G6" s="131">
        <f t="shared" si="1"/>
        <v>0</v>
      </c>
      <c r="H6" s="134">
        <f t="shared" si="2"/>
        <v>0</v>
      </c>
    </row>
    <row r="7" spans="1:8" ht="19.5" customHeight="1">
      <c r="A7" s="125"/>
      <c r="B7" s="41" t="s">
        <v>90</v>
      </c>
      <c r="C7" s="39">
        <f>25664.86/12*13</f>
        <v>27803.59833333333</v>
      </c>
      <c r="D7" s="39">
        <v>0</v>
      </c>
      <c r="E7" s="39">
        <f t="shared" si="0"/>
        <v>27803.59833333333</v>
      </c>
      <c r="F7" s="122">
        <v>1</v>
      </c>
      <c r="G7" s="131">
        <f t="shared" si="1"/>
        <v>0</v>
      </c>
      <c r="H7" s="134">
        <f t="shared" si="2"/>
        <v>0</v>
      </c>
    </row>
    <row r="8" spans="1:8" ht="19.5" customHeight="1">
      <c r="A8" s="125"/>
      <c r="B8" s="41" t="s">
        <v>91</v>
      </c>
      <c r="C8" s="39">
        <f>27410.32/12*13</f>
        <v>29694.513333333332</v>
      </c>
      <c r="D8" s="39">
        <v>0</v>
      </c>
      <c r="E8" s="39">
        <f t="shared" si="0"/>
        <v>29694.513333333332</v>
      </c>
      <c r="F8" s="122">
        <v>1</v>
      </c>
      <c r="G8" s="131">
        <f t="shared" si="1"/>
        <v>0</v>
      </c>
      <c r="H8" s="134">
        <f t="shared" si="2"/>
        <v>0</v>
      </c>
    </row>
    <row r="9" spans="1:8" ht="19.5" customHeight="1">
      <c r="A9" s="125" t="s">
        <v>138</v>
      </c>
      <c r="B9" s="41" t="s">
        <v>88</v>
      </c>
      <c r="C9" s="39">
        <f>23492.14/12*13</f>
        <v>25449.818333333333</v>
      </c>
      <c r="D9" s="39">
        <v>0</v>
      </c>
      <c r="E9" s="39">
        <f t="shared" si="0"/>
        <v>25449.818333333333</v>
      </c>
      <c r="F9" s="122">
        <v>1</v>
      </c>
      <c r="G9" s="131">
        <f t="shared" si="1"/>
        <v>0</v>
      </c>
      <c r="H9" s="134">
        <f t="shared" si="2"/>
        <v>0</v>
      </c>
    </row>
    <row r="10" spans="1:8" ht="19.5" customHeight="1">
      <c r="A10" s="126"/>
      <c r="B10" s="41" t="s">
        <v>89</v>
      </c>
      <c r="C10" s="39">
        <f>24531.76/12*13</f>
        <v>26576.073333333334</v>
      </c>
      <c r="D10" s="39">
        <v>0</v>
      </c>
      <c r="E10" s="39">
        <f t="shared" si="0"/>
        <v>26576.073333333334</v>
      </c>
      <c r="F10" s="122">
        <v>1</v>
      </c>
      <c r="G10" s="131">
        <f t="shared" si="1"/>
        <v>0</v>
      </c>
      <c r="H10" s="134">
        <f t="shared" si="2"/>
        <v>0</v>
      </c>
    </row>
    <row r="11" spans="1:8" ht="19.5" customHeight="1">
      <c r="A11" s="125"/>
      <c r="B11" s="41" t="s">
        <v>90</v>
      </c>
      <c r="C11" s="39">
        <f>25664.86/12*13</f>
        <v>27803.59833333333</v>
      </c>
      <c r="D11" s="39">
        <v>0</v>
      </c>
      <c r="E11" s="39">
        <f t="shared" si="0"/>
        <v>27803.59833333333</v>
      </c>
      <c r="F11" s="122">
        <v>1</v>
      </c>
      <c r="G11" s="131">
        <f t="shared" si="1"/>
        <v>0</v>
      </c>
      <c r="H11" s="134">
        <f t="shared" si="2"/>
        <v>0</v>
      </c>
    </row>
    <row r="12" spans="1:8" ht="19.5" customHeight="1">
      <c r="A12" s="125"/>
      <c r="B12" s="41" t="s">
        <v>91</v>
      </c>
      <c r="C12" s="39">
        <f>27410.32/12*13</f>
        <v>29694.513333333332</v>
      </c>
      <c r="D12" s="39">
        <v>0</v>
      </c>
      <c r="E12" s="39">
        <f t="shared" si="0"/>
        <v>29694.513333333332</v>
      </c>
      <c r="F12" s="122">
        <v>1</v>
      </c>
      <c r="G12" s="131">
        <f t="shared" si="1"/>
        <v>0</v>
      </c>
      <c r="H12" s="134">
        <f t="shared" si="2"/>
        <v>0</v>
      </c>
    </row>
    <row r="13" spans="1:8" ht="19.5" customHeight="1">
      <c r="A13" s="125" t="s">
        <v>134</v>
      </c>
      <c r="B13" s="41"/>
      <c r="C13" s="39">
        <f>18695.75/12*13</f>
        <v>20253.729166666668</v>
      </c>
      <c r="D13" s="39">
        <v>0</v>
      </c>
      <c r="E13" s="39">
        <f t="shared" si="0"/>
        <v>20253.729166666668</v>
      </c>
      <c r="F13" s="122">
        <v>1</v>
      </c>
      <c r="G13" s="131">
        <f t="shared" si="1"/>
        <v>0</v>
      </c>
      <c r="H13" s="134">
        <f t="shared" si="2"/>
        <v>0</v>
      </c>
    </row>
    <row r="14" spans="1:8" ht="19.5" customHeight="1">
      <c r="A14" s="125" t="s">
        <v>81</v>
      </c>
      <c r="B14" s="41"/>
      <c r="C14" s="39">
        <f>19159.46/12*13</f>
        <v>20756.081666666665</v>
      </c>
      <c r="D14" s="39">
        <v>0</v>
      </c>
      <c r="E14" s="39">
        <f t="shared" si="0"/>
        <v>20756.081666666665</v>
      </c>
      <c r="F14" s="122">
        <v>1</v>
      </c>
      <c r="G14" s="131">
        <f t="shared" si="1"/>
        <v>0</v>
      </c>
      <c r="H14" s="134">
        <f t="shared" si="2"/>
        <v>0</v>
      </c>
    </row>
    <row r="15" spans="1:8" ht="19.5" customHeight="1">
      <c r="A15" s="125" t="s">
        <v>82</v>
      </c>
      <c r="B15" s="41"/>
      <c r="C15" s="39">
        <f>19709.42/12*13</f>
        <v>21351.871666666666</v>
      </c>
      <c r="D15" s="39">
        <v>0</v>
      </c>
      <c r="E15" s="39">
        <f t="shared" si="0"/>
        <v>21351.871666666666</v>
      </c>
      <c r="F15" s="122">
        <v>1</v>
      </c>
      <c r="G15" s="131">
        <f t="shared" si="1"/>
        <v>0</v>
      </c>
      <c r="H15" s="134">
        <f t="shared" si="2"/>
        <v>0</v>
      </c>
    </row>
    <row r="16" spans="1:8" ht="19.5" customHeight="1">
      <c r="A16" s="125" t="s">
        <v>83</v>
      </c>
      <c r="B16" s="41"/>
      <c r="C16" s="39">
        <f>20356.91/12*13</f>
        <v>22053.319166666664</v>
      </c>
      <c r="D16" s="39">
        <v>0</v>
      </c>
      <c r="E16" s="39">
        <f t="shared" si="0"/>
        <v>22053.319166666664</v>
      </c>
      <c r="F16" s="122">
        <v>1</v>
      </c>
      <c r="G16" s="131">
        <f t="shared" si="1"/>
        <v>0</v>
      </c>
      <c r="H16" s="134">
        <f t="shared" si="2"/>
        <v>0</v>
      </c>
    </row>
    <row r="17" spans="1:8" ht="19.5" customHeight="1">
      <c r="A17" s="125" t="s">
        <v>84</v>
      </c>
      <c r="B17" s="41"/>
      <c r="C17" s="39">
        <f>21128.52/12*13</f>
        <v>22889.23</v>
      </c>
      <c r="D17" s="39">
        <v>0</v>
      </c>
      <c r="E17" s="39">
        <f t="shared" si="0"/>
        <v>22889.23</v>
      </c>
      <c r="F17" s="122">
        <v>1</v>
      </c>
      <c r="G17" s="131">
        <f t="shared" si="1"/>
        <v>0</v>
      </c>
      <c r="H17" s="134">
        <f t="shared" si="2"/>
        <v>0</v>
      </c>
    </row>
    <row r="18" spans="1:8" ht="19.5" customHeight="1">
      <c r="A18" s="125" t="s">
        <v>139</v>
      </c>
      <c r="B18" s="41" t="s">
        <v>135</v>
      </c>
      <c r="C18" s="39">
        <f>16613.51/12*13</f>
        <v>17997.969166666666</v>
      </c>
      <c r="D18" s="39">
        <v>0</v>
      </c>
      <c r="E18" s="39">
        <f t="shared" si="0"/>
        <v>17997.969166666666</v>
      </c>
      <c r="F18" s="122">
        <v>1</v>
      </c>
      <c r="G18" s="131">
        <f t="shared" si="1"/>
        <v>0</v>
      </c>
      <c r="H18" s="134">
        <f t="shared" si="2"/>
        <v>0</v>
      </c>
    </row>
    <row r="19" spans="1:8" ht="19.5" customHeight="1">
      <c r="A19" s="125"/>
      <c r="B19" s="41" t="s">
        <v>73</v>
      </c>
      <c r="C19" s="39">
        <f>16900.41/12*13</f>
        <v>18308.7775</v>
      </c>
      <c r="D19" s="39">
        <v>0</v>
      </c>
      <c r="E19" s="39">
        <f t="shared" si="0"/>
        <v>18308.7775</v>
      </c>
      <c r="F19" s="122">
        <v>1</v>
      </c>
      <c r="G19" s="131">
        <f t="shared" si="1"/>
        <v>0</v>
      </c>
      <c r="H19" s="134">
        <f t="shared" si="2"/>
        <v>0</v>
      </c>
    </row>
    <row r="20" spans="1:8" ht="19.5" customHeight="1">
      <c r="A20" s="126"/>
      <c r="B20" s="41" t="s">
        <v>74</v>
      </c>
      <c r="C20" s="39">
        <f>17562.72/12*13</f>
        <v>19026.280000000002</v>
      </c>
      <c r="D20" s="39">
        <v>0</v>
      </c>
      <c r="E20" s="39">
        <f t="shared" si="0"/>
        <v>19026.280000000002</v>
      </c>
      <c r="F20" s="122">
        <v>1</v>
      </c>
      <c r="G20" s="131">
        <f t="shared" si="1"/>
        <v>0</v>
      </c>
      <c r="H20" s="134">
        <f t="shared" si="2"/>
        <v>0</v>
      </c>
    </row>
    <row r="21" spans="1:8" ht="19.5" customHeight="1">
      <c r="A21" s="126"/>
      <c r="B21" s="41" t="s">
        <v>75</v>
      </c>
      <c r="C21" s="39">
        <f>17829.41/12*13</f>
        <v>19315.194166666664</v>
      </c>
      <c r="D21" s="39">
        <v>0</v>
      </c>
      <c r="E21" s="39">
        <f t="shared" si="0"/>
        <v>19315.194166666664</v>
      </c>
      <c r="F21" s="122">
        <v>1</v>
      </c>
      <c r="G21" s="131">
        <f t="shared" si="1"/>
        <v>0</v>
      </c>
      <c r="H21" s="134">
        <f t="shared" si="2"/>
        <v>0</v>
      </c>
    </row>
    <row r="22" spans="1:8" ht="19.5" customHeight="1">
      <c r="A22" s="125"/>
      <c r="B22" s="41" t="s">
        <v>76</v>
      </c>
      <c r="C22" s="39">
        <f>18141.59/12*13</f>
        <v>19653.389166666668</v>
      </c>
      <c r="D22" s="39">
        <v>0</v>
      </c>
      <c r="E22" s="39">
        <f t="shared" si="0"/>
        <v>19653.389166666668</v>
      </c>
      <c r="F22" s="122">
        <v>1</v>
      </c>
      <c r="G22" s="131">
        <f t="shared" si="1"/>
        <v>0</v>
      </c>
      <c r="H22" s="134">
        <f t="shared" si="2"/>
        <v>0</v>
      </c>
    </row>
    <row r="23" spans="1:8" ht="19.5" customHeight="1">
      <c r="A23" s="125"/>
      <c r="B23" s="41" t="s">
        <v>77</v>
      </c>
      <c r="C23" s="39">
        <f>18476.38/12*13</f>
        <v>20016.078333333335</v>
      </c>
      <c r="D23" s="39">
        <v>0</v>
      </c>
      <c r="E23" s="39">
        <f t="shared" si="0"/>
        <v>20016.078333333335</v>
      </c>
      <c r="F23" s="122">
        <v>1</v>
      </c>
      <c r="G23" s="131">
        <f t="shared" si="1"/>
        <v>0</v>
      </c>
      <c r="H23" s="134">
        <f t="shared" si="2"/>
        <v>0</v>
      </c>
    </row>
    <row r="24" spans="1:8" ht="19.5" customHeight="1">
      <c r="A24" s="125"/>
      <c r="B24" s="41" t="s">
        <v>78</v>
      </c>
      <c r="C24" s="39">
        <f>19115.2/12*13</f>
        <v>20708.133333333335</v>
      </c>
      <c r="D24" s="39">
        <v>0</v>
      </c>
      <c r="E24" s="39">
        <f t="shared" si="0"/>
        <v>20708.133333333335</v>
      </c>
      <c r="F24" s="122">
        <v>1</v>
      </c>
      <c r="G24" s="131">
        <f t="shared" si="1"/>
        <v>0</v>
      </c>
      <c r="H24" s="134">
        <f t="shared" si="2"/>
        <v>0</v>
      </c>
    </row>
    <row r="25" spans="1:8" ht="19.5" customHeight="1">
      <c r="A25" s="125" t="s">
        <v>140</v>
      </c>
      <c r="B25" s="41" t="s">
        <v>74</v>
      </c>
      <c r="C25" s="39">
        <f>17562.72/12*13</f>
        <v>19026.280000000002</v>
      </c>
      <c r="D25" s="39">
        <v>0</v>
      </c>
      <c r="E25" s="39">
        <f t="shared" si="0"/>
        <v>19026.280000000002</v>
      </c>
      <c r="F25" s="122">
        <v>1</v>
      </c>
      <c r="G25" s="131">
        <f t="shared" si="1"/>
        <v>0</v>
      </c>
      <c r="H25" s="134">
        <f t="shared" si="2"/>
        <v>0</v>
      </c>
    </row>
    <row r="26" spans="1:8" ht="19.5" customHeight="1">
      <c r="A26" s="125"/>
      <c r="B26" s="41" t="s">
        <v>75</v>
      </c>
      <c r="C26" s="39">
        <f>17829.41/12*13</f>
        <v>19315.194166666664</v>
      </c>
      <c r="D26" s="39">
        <v>0</v>
      </c>
      <c r="E26" s="39">
        <f t="shared" si="0"/>
        <v>19315.194166666664</v>
      </c>
      <c r="F26" s="122">
        <v>1</v>
      </c>
      <c r="G26" s="131">
        <f t="shared" si="1"/>
        <v>0</v>
      </c>
      <c r="H26" s="134">
        <f t="shared" si="2"/>
        <v>0</v>
      </c>
    </row>
    <row r="27" spans="1:8" ht="19.5" customHeight="1">
      <c r="A27" s="126"/>
      <c r="B27" s="41" t="s">
        <v>76</v>
      </c>
      <c r="C27" s="39">
        <f>18141.59/12*13</f>
        <v>19653.389166666668</v>
      </c>
      <c r="D27" s="39">
        <v>0</v>
      </c>
      <c r="E27" s="39">
        <f t="shared" si="0"/>
        <v>19653.389166666668</v>
      </c>
      <c r="F27" s="122">
        <v>1</v>
      </c>
      <c r="G27" s="131">
        <f t="shared" si="1"/>
        <v>0</v>
      </c>
      <c r="H27" s="134">
        <f t="shared" si="2"/>
        <v>0</v>
      </c>
    </row>
    <row r="28" spans="1:8" ht="19.5" customHeight="1">
      <c r="A28" s="125"/>
      <c r="B28" s="41" t="s">
        <v>77</v>
      </c>
      <c r="C28" s="39">
        <f>18476.38/12*13</f>
        <v>20016.078333333335</v>
      </c>
      <c r="D28" s="39">
        <v>0</v>
      </c>
      <c r="E28" s="39">
        <f t="shared" si="0"/>
        <v>20016.078333333335</v>
      </c>
      <c r="F28" s="122">
        <v>1</v>
      </c>
      <c r="G28" s="131">
        <f t="shared" si="1"/>
        <v>0</v>
      </c>
      <c r="H28" s="134">
        <f t="shared" si="2"/>
        <v>0</v>
      </c>
    </row>
    <row r="29" spans="1:8" ht="19.5" customHeight="1">
      <c r="A29" s="125"/>
      <c r="B29" s="41" t="s">
        <v>78</v>
      </c>
      <c r="C29" s="39">
        <f>19115.2/12*13</f>
        <v>20708.133333333335</v>
      </c>
      <c r="D29" s="39">
        <v>0</v>
      </c>
      <c r="E29" s="39">
        <f t="shared" si="0"/>
        <v>20708.133333333335</v>
      </c>
      <c r="F29" s="122">
        <v>1</v>
      </c>
      <c r="G29" s="131">
        <f t="shared" si="1"/>
        <v>0</v>
      </c>
      <c r="H29" s="134">
        <f t="shared" si="2"/>
        <v>0</v>
      </c>
    </row>
    <row r="30" spans="1:8" ht="19.5" customHeight="1">
      <c r="A30" s="125" t="s">
        <v>136</v>
      </c>
      <c r="B30" s="41"/>
      <c r="C30" s="39">
        <f>15724.17/12*13</f>
        <v>17034.5175</v>
      </c>
      <c r="D30" s="39">
        <v>0</v>
      </c>
      <c r="E30" s="39">
        <f t="shared" si="0"/>
        <v>17034.5175</v>
      </c>
      <c r="F30" s="122">
        <v>1</v>
      </c>
      <c r="G30" s="131">
        <f t="shared" si="1"/>
        <v>0</v>
      </c>
      <c r="H30" s="134">
        <f t="shared" si="2"/>
        <v>0</v>
      </c>
    </row>
    <row r="31" spans="1:8" ht="19.5" customHeight="1">
      <c r="A31" s="125" t="s">
        <v>67</v>
      </c>
      <c r="B31" s="41"/>
      <c r="C31" s="39">
        <f>15943.55/12*13</f>
        <v>17272.179166666665</v>
      </c>
      <c r="D31" s="39">
        <v>0</v>
      </c>
      <c r="E31" s="39">
        <f t="shared" si="0"/>
        <v>17272.179166666665</v>
      </c>
      <c r="F31" s="122">
        <v>1</v>
      </c>
      <c r="G31" s="131">
        <f t="shared" si="1"/>
        <v>0</v>
      </c>
      <c r="H31" s="134">
        <f t="shared" si="2"/>
        <v>0</v>
      </c>
    </row>
    <row r="32" spans="1:8" ht="19.5" customHeight="1">
      <c r="A32" s="125" t="s">
        <v>68</v>
      </c>
      <c r="B32" s="41"/>
      <c r="C32" s="39">
        <f>16277.04/12*13</f>
        <v>17633.46</v>
      </c>
      <c r="D32" s="39">
        <v>0</v>
      </c>
      <c r="E32" s="39">
        <f t="shared" si="0"/>
        <v>17633.46</v>
      </c>
      <c r="F32" s="122">
        <v>1</v>
      </c>
      <c r="G32" s="131">
        <f t="shared" si="1"/>
        <v>0</v>
      </c>
      <c r="H32" s="134">
        <f t="shared" si="2"/>
        <v>0</v>
      </c>
    </row>
    <row r="33" spans="1:8" ht="19.5" customHeight="1">
      <c r="A33" s="125" t="s">
        <v>69</v>
      </c>
      <c r="B33" s="41"/>
      <c r="C33" s="39">
        <f>16576.86/12*13</f>
        <v>17958.265</v>
      </c>
      <c r="D33" s="39">
        <v>0</v>
      </c>
      <c r="E33" s="39">
        <f t="shared" si="0"/>
        <v>17958.265</v>
      </c>
      <c r="F33" s="122">
        <v>1</v>
      </c>
      <c r="G33" s="131">
        <f t="shared" si="1"/>
        <v>0</v>
      </c>
      <c r="H33" s="134">
        <f t="shared" si="2"/>
        <v>0</v>
      </c>
    </row>
    <row r="34" spans="1:8" ht="19.5" customHeight="1" thickBot="1">
      <c r="A34" s="127" t="s">
        <v>70</v>
      </c>
      <c r="B34" s="128"/>
      <c r="C34" s="82">
        <f>16932.45/12*13</f>
        <v>18343.487500000003</v>
      </c>
      <c r="D34" s="82">
        <v>0</v>
      </c>
      <c r="E34" s="82">
        <f t="shared" si="0"/>
        <v>18343.487500000003</v>
      </c>
      <c r="F34" s="129">
        <v>1</v>
      </c>
      <c r="G34" s="132">
        <f t="shared" si="1"/>
        <v>0</v>
      </c>
      <c r="H34" s="135">
        <f t="shared" si="2"/>
        <v>0</v>
      </c>
    </row>
    <row r="35" spans="1:8" ht="19.5" customHeight="1" thickBot="1">
      <c r="A35" s="287" t="s">
        <v>143</v>
      </c>
      <c r="B35" s="288"/>
      <c r="C35" s="288"/>
      <c r="D35" s="288"/>
      <c r="E35" s="288"/>
      <c r="F35" s="288"/>
      <c r="G35" s="289"/>
      <c r="H35" s="123">
        <f>SUM(H3:H34)</f>
        <v>0</v>
      </c>
    </row>
  </sheetData>
  <sheetProtection/>
  <mergeCells count="2">
    <mergeCell ref="A1:H1"/>
    <mergeCell ref="A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7109375" style="0" customWidth="1"/>
    <col min="2" max="2" width="12.00390625" style="0" customWidth="1"/>
    <col min="6" max="6" width="13.00390625" style="0" customWidth="1"/>
    <col min="7" max="7" width="12.7109375" style="0" bestFit="1" customWidth="1"/>
    <col min="8" max="8" width="18.421875" style="0" customWidth="1"/>
    <col min="9" max="9" width="3.7109375" style="0" customWidth="1"/>
  </cols>
  <sheetData>
    <row r="1" spans="1:9" ht="18" customHeight="1">
      <c r="A1" s="65"/>
      <c r="B1" s="67"/>
      <c r="C1" s="67"/>
      <c r="D1" s="67"/>
      <c r="E1" s="67"/>
      <c r="F1" s="67"/>
      <c r="G1" s="67"/>
      <c r="H1" s="67"/>
      <c r="I1" s="68"/>
    </row>
    <row r="2" spans="1:9" ht="12.75">
      <c r="A2" s="69"/>
      <c r="B2" s="290" t="s">
        <v>57</v>
      </c>
      <c r="C2" s="291"/>
      <c r="D2" s="291"/>
      <c r="E2" s="291"/>
      <c r="F2" s="291"/>
      <c r="G2" s="291"/>
      <c r="H2" s="292"/>
      <c r="I2" s="70"/>
    </row>
    <row r="3" spans="1:9" ht="12.75">
      <c r="A3" s="69"/>
      <c r="B3" s="290" t="s">
        <v>58</v>
      </c>
      <c r="C3" s="292"/>
      <c r="D3" s="63"/>
      <c r="E3" s="63"/>
      <c r="F3" s="63"/>
      <c r="G3" s="63"/>
      <c r="H3" s="63"/>
      <c r="I3" s="70"/>
    </row>
    <row r="4" spans="1:9" ht="12.75">
      <c r="A4" s="69"/>
      <c r="B4" s="63"/>
      <c r="C4" s="63"/>
      <c r="D4" s="63"/>
      <c r="E4" s="63"/>
      <c r="F4" s="80" t="s">
        <v>59</v>
      </c>
      <c r="G4" s="80" t="s">
        <v>60</v>
      </c>
      <c r="H4" s="80" t="s">
        <v>61</v>
      </c>
      <c r="I4" s="70"/>
    </row>
    <row r="5" spans="1:9" ht="12.75">
      <c r="A5" s="69"/>
      <c r="B5" s="77" t="s">
        <v>123</v>
      </c>
      <c r="C5" s="78"/>
      <c r="D5" s="77"/>
      <c r="E5" s="79"/>
      <c r="F5" s="81" t="s">
        <v>62</v>
      </c>
      <c r="G5" s="81" t="s">
        <v>63</v>
      </c>
      <c r="H5" s="81" t="s">
        <v>124</v>
      </c>
      <c r="I5" s="70"/>
    </row>
    <row r="6" spans="1:9" ht="12.75">
      <c r="A6" s="69"/>
      <c r="B6" s="63"/>
      <c r="C6" s="63"/>
      <c r="D6" s="63"/>
      <c r="E6" s="63"/>
      <c r="F6" s="76"/>
      <c r="G6" s="75" t="s">
        <v>64</v>
      </c>
      <c r="H6" s="75" t="s">
        <v>64</v>
      </c>
      <c r="I6" s="70"/>
    </row>
    <row r="7" spans="1:9" ht="12.75">
      <c r="A7" s="69"/>
      <c r="B7" s="63"/>
      <c r="C7" s="63"/>
      <c r="D7" s="63"/>
      <c r="E7" s="63"/>
      <c r="F7" s="63"/>
      <c r="G7" s="63"/>
      <c r="H7" s="63"/>
      <c r="I7" s="70"/>
    </row>
    <row r="8" spans="1:9" ht="12.75">
      <c r="A8" s="69"/>
      <c r="B8" s="38" t="s">
        <v>65</v>
      </c>
      <c r="C8" s="41" t="s">
        <v>66</v>
      </c>
      <c r="D8" s="41" t="s">
        <v>30</v>
      </c>
      <c r="E8" s="41" t="s">
        <v>67</v>
      </c>
      <c r="F8" s="38">
        <v>0</v>
      </c>
      <c r="G8" s="39">
        <f>219.38/12*13</f>
        <v>237.66166666666666</v>
      </c>
      <c r="H8" s="39">
        <f>F8*G8</f>
        <v>0</v>
      </c>
      <c r="I8" s="70"/>
    </row>
    <row r="9" spans="1:9" ht="12.75">
      <c r="A9" s="69"/>
      <c r="B9" s="38" t="s">
        <v>65</v>
      </c>
      <c r="C9" s="41" t="s">
        <v>67</v>
      </c>
      <c r="D9" s="41" t="s">
        <v>30</v>
      </c>
      <c r="E9" s="41" t="s">
        <v>68</v>
      </c>
      <c r="F9" s="38">
        <v>0</v>
      </c>
      <c r="G9" s="39">
        <f>333.49/12*13</f>
        <v>361.28083333333336</v>
      </c>
      <c r="H9" s="39">
        <f>F9*G9</f>
        <v>0</v>
      </c>
      <c r="I9" s="70"/>
    </row>
    <row r="10" spans="1:9" ht="12.75">
      <c r="A10" s="69"/>
      <c r="B10" s="38" t="s">
        <v>65</v>
      </c>
      <c r="C10" s="41" t="s">
        <v>68</v>
      </c>
      <c r="D10" s="41" t="s">
        <v>30</v>
      </c>
      <c r="E10" s="41" t="s">
        <v>69</v>
      </c>
      <c r="F10" s="38">
        <v>0</v>
      </c>
      <c r="G10" s="39">
        <f>299.82/12*13</f>
        <v>324.805</v>
      </c>
      <c r="H10" s="39">
        <f>F10*G10</f>
        <v>0</v>
      </c>
      <c r="I10" s="70"/>
    </row>
    <row r="11" spans="1:9" ht="12.75">
      <c r="A11" s="69"/>
      <c r="B11" s="38" t="s">
        <v>65</v>
      </c>
      <c r="C11" s="41" t="s">
        <v>69</v>
      </c>
      <c r="D11" s="41" t="s">
        <v>30</v>
      </c>
      <c r="E11" s="41" t="s">
        <v>70</v>
      </c>
      <c r="F11" s="38">
        <v>0</v>
      </c>
      <c r="G11" s="39">
        <f>355.59/12*13</f>
        <v>385.22249999999997</v>
      </c>
      <c r="H11" s="82">
        <f>F11*G11</f>
        <v>0</v>
      </c>
      <c r="I11" s="70"/>
    </row>
    <row r="12" spans="1:9" ht="12.75">
      <c r="A12" s="69"/>
      <c r="B12" s="290" t="s">
        <v>71</v>
      </c>
      <c r="C12" s="291"/>
      <c r="D12" s="291"/>
      <c r="E12" s="291"/>
      <c r="F12" s="291"/>
      <c r="G12" s="292"/>
      <c r="H12" s="39">
        <f>SUM(H8:H11)</f>
        <v>0</v>
      </c>
      <c r="I12" s="70"/>
    </row>
    <row r="13" spans="1:9" ht="12.75">
      <c r="A13" s="69"/>
      <c r="B13" s="63"/>
      <c r="C13" s="63"/>
      <c r="D13" s="63"/>
      <c r="E13" s="63"/>
      <c r="F13" s="63"/>
      <c r="G13" s="63"/>
      <c r="H13" s="63"/>
      <c r="I13" s="70"/>
    </row>
    <row r="14" spans="1:9" ht="12.75">
      <c r="A14" s="69"/>
      <c r="B14" s="38" t="s">
        <v>65</v>
      </c>
      <c r="C14" s="41" t="s">
        <v>72</v>
      </c>
      <c r="D14" s="41" t="s">
        <v>30</v>
      </c>
      <c r="E14" s="41" t="s">
        <v>73</v>
      </c>
      <c r="F14" s="38">
        <v>0</v>
      </c>
      <c r="G14" s="39">
        <f>288.9/12*13</f>
        <v>312.97499999999997</v>
      </c>
      <c r="H14" s="39">
        <f aca="true" t="shared" si="0" ref="H14:H19">F14*G14</f>
        <v>0</v>
      </c>
      <c r="I14" s="70"/>
    </row>
    <row r="15" spans="1:9" ht="12.75">
      <c r="A15" s="69"/>
      <c r="B15" s="38" t="s">
        <v>65</v>
      </c>
      <c r="C15" s="41" t="s">
        <v>73</v>
      </c>
      <c r="D15" s="41" t="s">
        <v>30</v>
      </c>
      <c r="E15" s="41" t="s">
        <v>74</v>
      </c>
      <c r="F15" s="38">
        <v>0</v>
      </c>
      <c r="G15" s="39">
        <f>662.31/12*13</f>
        <v>717.5024999999999</v>
      </c>
      <c r="H15" s="39">
        <f t="shared" si="0"/>
        <v>0</v>
      </c>
      <c r="I15" s="70"/>
    </row>
    <row r="16" spans="1:9" ht="12.75">
      <c r="A16" s="69"/>
      <c r="B16" s="38" t="s">
        <v>65</v>
      </c>
      <c r="C16" s="41" t="s">
        <v>74</v>
      </c>
      <c r="D16" s="41" t="s">
        <v>30</v>
      </c>
      <c r="E16" s="41" t="s">
        <v>75</v>
      </c>
      <c r="F16" s="38">
        <v>0</v>
      </c>
      <c r="G16" s="39">
        <f>266.69/12*13</f>
        <v>288.91416666666663</v>
      </c>
      <c r="H16" s="39">
        <f t="shared" si="0"/>
        <v>0</v>
      </c>
      <c r="I16" s="70"/>
    </row>
    <row r="17" spans="1:9" ht="12.75">
      <c r="A17" s="69"/>
      <c r="B17" s="38" t="s">
        <v>65</v>
      </c>
      <c r="C17" s="41" t="s">
        <v>75</v>
      </c>
      <c r="D17" s="41" t="s">
        <v>30</v>
      </c>
      <c r="E17" s="41" t="s">
        <v>76</v>
      </c>
      <c r="F17" s="38">
        <v>0</v>
      </c>
      <c r="G17" s="39">
        <f>312.18/12*13</f>
        <v>338.195</v>
      </c>
      <c r="H17" s="39">
        <f t="shared" si="0"/>
        <v>0</v>
      </c>
      <c r="I17" s="70"/>
    </row>
    <row r="18" spans="1:9" ht="12.75">
      <c r="A18" s="69"/>
      <c r="B18" s="38" t="s">
        <v>65</v>
      </c>
      <c r="C18" s="41" t="s">
        <v>76</v>
      </c>
      <c r="D18" s="41" t="s">
        <v>30</v>
      </c>
      <c r="E18" s="41" t="s">
        <v>77</v>
      </c>
      <c r="F18" s="38">
        <v>0</v>
      </c>
      <c r="G18" s="39">
        <f>334.79/12*13</f>
        <v>362.6891666666667</v>
      </c>
      <c r="H18" s="39">
        <f t="shared" si="0"/>
        <v>0</v>
      </c>
      <c r="I18" s="70"/>
    </row>
    <row r="19" spans="1:9" ht="12.75">
      <c r="A19" s="69"/>
      <c r="B19" s="38" t="s">
        <v>65</v>
      </c>
      <c r="C19" s="41" t="s">
        <v>77</v>
      </c>
      <c r="D19" s="41" t="s">
        <v>30</v>
      </c>
      <c r="E19" s="41" t="s">
        <v>78</v>
      </c>
      <c r="F19" s="38">
        <v>0</v>
      </c>
      <c r="G19" s="39">
        <f>638.82/12*13</f>
        <v>692.0550000000001</v>
      </c>
      <c r="H19" s="82">
        <f t="shared" si="0"/>
        <v>0</v>
      </c>
      <c r="I19" s="70"/>
    </row>
    <row r="20" spans="1:9" ht="12.75">
      <c r="A20" s="69"/>
      <c r="B20" s="290" t="s">
        <v>79</v>
      </c>
      <c r="C20" s="291"/>
      <c r="D20" s="291"/>
      <c r="E20" s="291"/>
      <c r="F20" s="291"/>
      <c r="G20" s="292"/>
      <c r="H20" s="39">
        <f>SUM(H14:H19)</f>
        <v>0</v>
      </c>
      <c r="I20" s="70"/>
    </row>
    <row r="21" spans="1:9" ht="12.75">
      <c r="A21" s="69"/>
      <c r="B21" s="63"/>
      <c r="C21" s="63"/>
      <c r="D21" s="63"/>
      <c r="E21" s="63"/>
      <c r="F21" s="63"/>
      <c r="G21" s="63"/>
      <c r="H21" s="63"/>
      <c r="I21" s="70"/>
    </row>
    <row r="22" spans="1:9" ht="12.75">
      <c r="A22" s="69"/>
      <c r="B22" s="38" t="s">
        <v>65</v>
      </c>
      <c r="C22" s="41" t="s">
        <v>80</v>
      </c>
      <c r="D22" s="41" t="s">
        <v>30</v>
      </c>
      <c r="E22" s="41" t="s">
        <v>81</v>
      </c>
      <c r="F22" s="38">
        <v>1</v>
      </c>
      <c r="G22" s="39">
        <f>463.71/12*13</f>
        <v>502.35249999999996</v>
      </c>
      <c r="H22" s="39">
        <f>F22*G22/13*10</f>
        <v>386.42499999999995</v>
      </c>
      <c r="I22" s="70"/>
    </row>
    <row r="23" spans="1:9" ht="12.75">
      <c r="A23" s="69"/>
      <c r="B23" s="38" t="s">
        <v>65</v>
      </c>
      <c r="C23" s="41" t="s">
        <v>81</v>
      </c>
      <c r="D23" s="41" t="s">
        <v>30</v>
      </c>
      <c r="E23" s="41" t="s">
        <v>82</v>
      </c>
      <c r="F23" s="38">
        <v>0</v>
      </c>
      <c r="G23" s="39">
        <f>549.96/12*13</f>
        <v>595.7900000000001</v>
      </c>
      <c r="H23" s="39">
        <f>F23*G23</f>
        <v>0</v>
      </c>
      <c r="I23" s="70"/>
    </row>
    <row r="24" spans="1:9" ht="12.75">
      <c r="A24" s="69"/>
      <c r="B24" s="38" t="s">
        <v>65</v>
      </c>
      <c r="C24" s="41" t="s">
        <v>82</v>
      </c>
      <c r="D24" s="41" t="s">
        <v>30</v>
      </c>
      <c r="E24" s="41" t="s">
        <v>83</v>
      </c>
      <c r="F24" s="38">
        <v>0</v>
      </c>
      <c r="G24" s="39">
        <f>647.49/12*13</f>
        <v>701.4475</v>
      </c>
      <c r="H24" s="39">
        <f>F24*G24</f>
        <v>0</v>
      </c>
      <c r="I24" s="70"/>
    </row>
    <row r="25" spans="1:9" ht="12.75">
      <c r="A25" s="69"/>
      <c r="B25" s="38" t="s">
        <v>65</v>
      </c>
      <c r="C25" s="41" t="s">
        <v>83</v>
      </c>
      <c r="D25" s="41" t="s">
        <v>30</v>
      </c>
      <c r="E25" s="41" t="s">
        <v>84</v>
      </c>
      <c r="F25" s="38">
        <v>0</v>
      </c>
      <c r="G25" s="39">
        <f>771.61/12*13</f>
        <v>835.9108333333332</v>
      </c>
      <c r="H25" s="82">
        <f>F25*G25</f>
        <v>0</v>
      </c>
      <c r="I25" s="70"/>
    </row>
    <row r="26" spans="1:9" ht="12.75">
      <c r="A26" s="69"/>
      <c r="B26" s="290" t="s">
        <v>85</v>
      </c>
      <c r="C26" s="291"/>
      <c r="D26" s="291"/>
      <c r="E26" s="291"/>
      <c r="F26" s="291"/>
      <c r="G26" s="292"/>
      <c r="H26" s="39">
        <f>SUM(H22:H25)</f>
        <v>386.42499999999995</v>
      </c>
      <c r="I26" s="70"/>
    </row>
    <row r="27" spans="1:9" ht="12.75">
      <c r="A27" s="69"/>
      <c r="B27" s="63"/>
      <c r="C27" s="63"/>
      <c r="D27" s="63"/>
      <c r="E27" s="63"/>
      <c r="F27" s="63"/>
      <c r="G27" s="63"/>
      <c r="H27" s="63"/>
      <c r="I27" s="70"/>
    </row>
    <row r="28" spans="1:9" ht="12.75">
      <c r="A28" s="69"/>
      <c r="B28" s="38" t="s">
        <v>65</v>
      </c>
      <c r="C28" s="41" t="s">
        <v>86</v>
      </c>
      <c r="D28" s="41" t="s">
        <v>30</v>
      </c>
      <c r="E28" s="41" t="s">
        <v>87</v>
      </c>
      <c r="F28" s="38">
        <v>0</v>
      </c>
      <c r="G28" s="39">
        <f>1037.18/12*13</f>
        <v>1123.6116666666667</v>
      </c>
      <c r="H28" s="39">
        <f>F28*G28</f>
        <v>0</v>
      </c>
      <c r="I28" s="70"/>
    </row>
    <row r="29" spans="1:9" ht="12.75">
      <c r="A29" s="69"/>
      <c r="B29" s="38" t="s">
        <v>65</v>
      </c>
      <c r="C29" s="41" t="s">
        <v>87</v>
      </c>
      <c r="D29" s="41" t="s">
        <v>30</v>
      </c>
      <c r="E29" s="41" t="s">
        <v>88</v>
      </c>
      <c r="F29" s="38">
        <v>0</v>
      </c>
      <c r="G29" s="39">
        <f>2056.25/12*13</f>
        <v>2227.6041666666665</v>
      </c>
      <c r="H29" s="39">
        <f>F29*G29</f>
        <v>0</v>
      </c>
      <c r="I29" s="70"/>
    </row>
    <row r="30" spans="1:9" ht="12.75">
      <c r="A30" s="69"/>
      <c r="B30" s="38" t="s">
        <v>65</v>
      </c>
      <c r="C30" s="41" t="s">
        <v>88</v>
      </c>
      <c r="D30" s="41" t="s">
        <v>30</v>
      </c>
      <c r="E30" s="41" t="s">
        <v>89</v>
      </c>
      <c r="F30" s="38">
        <v>0</v>
      </c>
      <c r="G30" s="39">
        <f>1039.62/12*13</f>
        <v>1126.2549999999999</v>
      </c>
      <c r="H30" s="39">
        <f>F30*G30</f>
        <v>0</v>
      </c>
      <c r="I30" s="70"/>
    </row>
    <row r="31" spans="1:9" ht="12.75">
      <c r="A31" s="69"/>
      <c r="B31" s="38" t="s">
        <v>65</v>
      </c>
      <c r="C31" s="41" t="s">
        <v>89</v>
      </c>
      <c r="D31" s="41" t="s">
        <v>30</v>
      </c>
      <c r="E31" s="41" t="s">
        <v>90</v>
      </c>
      <c r="F31" s="38">
        <v>0</v>
      </c>
      <c r="G31" s="39">
        <f>1133.1/12*13</f>
        <v>1227.5249999999999</v>
      </c>
      <c r="H31" s="39">
        <f>F31*G31</f>
        <v>0</v>
      </c>
      <c r="I31" s="70"/>
    </row>
    <row r="32" spans="1:9" ht="12.75">
      <c r="A32" s="69"/>
      <c r="B32" s="38" t="s">
        <v>65</v>
      </c>
      <c r="C32" s="41" t="s">
        <v>90</v>
      </c>
      <c r="D32" s="41" t="s">
        <v>30</v>
      </c>
      <c r="E32" s="41" t="s">
        <v>91</v>
      </c>
      <c r="F32" s="38">
        <v>0</v>
      </c>
      <c r="G32" s="39">
        <f>1745.46/12*13</f>
        <v>1890.9150000000002</v>
      </c>
      <c r="H32" s="82">
        <f>F32*G32</f>
        <v>0</v>
      </c>
      <c r="I32" s="70"/>
    </row>
    <row r="33" spans="1:9" ht="12.75">
      <c r="A33" s="69"/>
      <c r="B33" s="290" t="s">
        <v>92</v>
      </c>
      <c r="C33" s="291"/>
      <c r="D33" s="291"/>
      <c r="E33" s="291"/>
      <c r="F33" s="291"/>
      <c r="G33" s="292"/>
      <c r="H33" s="39">
        <f>SUM(H28:H32)</f>
        <v>0</v>
      </c>
      <c r="I33" s="70"/>
    </row>
    <row r="34" spans="1:9" ht="12.75">
      <c r="A34" s="69"/>
      <c r="B34" s="63"/>
      <c r="C34" s="63"/>
      <c r="D34" s="63"/>
      <c r="E34" s="63"/>
      <c r="F34" s="63"/>
      <c r="G34" s="63"/>
      <c r="H34" s="63"/>
      <c r="I34" s="70"/>
    </row>
    <row r="35" spans="1:9" ht="17.25">
      <c r="A35" s="69"/>
      <c r="B35" s="290" t="s">
        <v>93</v>
      </c>
      <c r="C35" s="291"/>
      <c r="D35" s="291"/>
      <c r="E35" s="291"/>
      <c r="F35" s="291"/>
      <c r="G35" s="293"/>
      <c r="H35" s="83">
        <f>H12+H20+H26+H33</f>
        <v>386.42499999999995</v>
      </c>
      <c r="I35" s="70"/>
    </row>
    <row r="36" spans="1:9" ht="18" customHeight="1">
      <c r="A36" s="71"/>
      <c r="B36" s="73"/>
      <c r="C36" s="73"/>
      <c r="D36" s="73"/>
      <c r="E36" s="73"/>
      <c r="F36" s="73"/>
      <c r="G36" s="73"/>
      <c r="H36" s="73"/>
      <c r="I36" s="74"/>
    </row>
    <row r="38" ht="12.75">
      <c r="A38" t="s">
        <v>196</v>
      </c>
    </row>
  </sheetData>
  <sheetProtection/>
  <mergeCells count="7">
    <mergeCell ref="B2:H2"/>
    <mergeCell ref="B3:C3"/>
    <mergeCell ref="B35:G35"/>
    <mergeCell ref="B33:G33"/>
    <mergeCell ref="B26:G26"/>
    <mergeCell ref="B20:G20"/>
    <mergeCell ref="B12:G1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E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8.140625" style="0" customWidth="1"/>
    <col min="3" max="3" width="12.00390625" style="0" bestFit="1" customWidth="1"/>
    <col min="4" max="4" width="10.140625" style="0" bestFit="1" customWidth="1"/>
    <col min="5" max="5" width="9.28125" style="0" bestFit="1" customWidth="1"/>
  </cols>
  <sheetData>
    <row r="2" ht="12.75">
      <c r="D2" s="147"/>
    </row>
    <row r="3" ht="12.75">
      <c r="D3" s="147"/>
    </row>
    <row r="4" spans="4:5" ht="12.75">
      <c r="D4" s="147"/>
      <c r="E4" s="148"/>
    </row>
    <row r="5" ht="12.75">
      <c r="D5" s="147"/>
    </row>
    <row r="6" spans="3:4" ht="12.75">
      <c r="C6" s="149"/>
      <c r="D6" s="14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G18" sqref="G18"/>
    </sheetView>
  </sheetViews>
  <sheetFormatPr defaultColWidth="9.140625" defaultRowHeight="12.75"/>
  <cols>
    <col min="1" max="1" width="2.7109375" style="43" customWidth="1"/>
    <col min="2" max="2" width="4.140625" style="43" bestFit="1" customWidth="1"/>
    <col min="3" max="3" width="1.7109375" style="43" customWidth="1"/>
    <col min="4" max="4" width="10.28125" style="43" bestFit="1" customWidth="1"/>
    <col min="5" max="5" width="10.421875" style="43" bestFit="1" customWidth="1"/>
    <col min="6" max="6" width="10.28125" style="43" bestFit="1" customWidth="1"/>
    <col min="7" max="7" width="12.00390625" style="43" bestFit="1" customWidth="1"/>
    <col min="8" max="8" width="1.7109375" style="43" customWidth="1"/>
    <col min="9" max="9" width="10.421875" style="43" bestFit="1" customWidth="1"/>
    <col min="10" max="11" width="9.57421875" style="43" bestFit="1" customWidth="1"/>
    <col min="12" max="12" width="1.7109375" style="43" customWidth="1"/>
    <col min="13" max="13" width="10.421875" style="43" bestFit="1" customWidth="1"/>
    <col min="14" max="15" width="9.57421875" style="43" bestFit="1" customWidth="1"/>
    <col min="16" max="16" width="2.8515625" style="43" customWidth="1"/>
    <col min="17" max="17" width="10.421875" style="43" bestFit="1" customWidth="1"/>
    <col min="18" max="19" width="9.57421875" style="43" bestFit="1" customWidth="1"/>
    <col min="20" max="20" width="2.8515625" style="43" customWidth="1"/>
    <col min="21" max="16384" width="9.140625" style="43" customWidth="1"/>
  </cols>
  <sheetData>
    <row r="1" spans="1:20" ht="12.7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</row>
    <row r="2" spans="1:20" ht="24.75" customHeight="1">
      <c r="A2" s="95"/>
      <c r="B2" s="188" t="s">
        <v>113</v>
      </c>
      <c r="C2" s="85"/>
      <c r="D2" s="189" t="s">
        <v>100</v>
      </c>
      <c r="E2" s="190"/>
      <c r="F2" s="190"/>
      <c r="G2" s="191" t="s">
        <v>101</v>
      </c>
      <c r="H2" s="90"/>
      <c r="I2" s="294" t="s">
        <v>112</v>
      </c>
      <c r="J2" s="294"/>
      <c r="K2" s="294"/>
      <c r="L2" s="84"/>
      <c r="M2" s="294" t="s">
        <v>105</v>
      </c>
      <c r="N2" s="294"/>
      <c r="O2" s="294"/>
      <c r="P2" s="84"/>
      <c r="Q2" s="294" t="s">
        <v>191</v>
      </c>
      <c r="R2" s="294"/>
      <c r="S2" s="294"/>
      <c r="T2" s="96"/>
    </row>
    <row r="3" spans="1:20" ht="24.75" customHeight="1">
      <c r="A3" s="95"/>
      <c r="B3" s="188"/>
      <c r="C3" s="85"/>
      <c r="D3" s="189" t="s">
        <v>114</v>
      </c>
      <c r="E3" s="192" t="s">
        <v>102</v>
      </c>
      <c r="F3" s="188" t="s">
        <v>103</v>
      </c>
      <c r="G3" s="188" t="s">
        <v>104</v>
      </c>
      <c r="H3" s="85"/>
      <c r="I3" s="193" t="s">
        <v>98</v>
      </c>
      <c r="J3" s="294" t="s">
        <v>111</v>
      </c>
      <c r="K3" s="294"/>
      <c r="L3" s="89"/>
      <c r="M3" s="193" t="s">
        <v>98</v>
      </c>
      <c r="N3" s="294" t="s">
        <v>111</v>
      </c>
      <c r="O3" s="294"/>
      <c r="P3" s="84"/>
      <c r="Q3" s="193" t="s">
        <v>98</v>
      </c>
      <c r="R3" s="294" t="s">
        <v>111</v>
      </c>
      <c r="S3" s="294"/>
      <c r="T3" s="96"/>
    </row>
    <row r="4" spans="1:20" ht="9" customHeight="1">
      <c r="A4" s="95"/>
      <c r="B4" s="85"/>
      <c r="C4" s="85"/>
      <c r="D4" s="86"/>
      <c r="E4" s="85"/>
      <c r="F4" s="85"/>
      <c r="G4" s="85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96"/>
    </row>
    <row r="5" spans="1:20" ht="24.75" customHeight="1">
      <c r="A5" s="95"/>
      <c r="B5" s="194" t="s">
        <v>86</v>
      </c>
      <c r="C5" s="91"/>
      <c r="D5" s="194"/>
      <c r="E5" s="44">
        <v>19259000</v>
      </c>
      <c r="F5" s="44">
        <v>12500626</v>
      </c>
      <c r="G5" s="44">
        <f>E5+F5</f>
        <v>31759626</v>
      </c>
      <c r="H5" s="87"/>
      <c r="I5" s="45">
        <f>(G5/12*13)/1936.27</f>
        <v>17769.351123551984</v>
      </c>
      <c r="J5" s="45"/>
      <c r="K5" s="195"/>
      <c r="L5" s="84"/>
      <c r="M5" s="45">
        <v>19270.71</v>
      </c>
      <c r="N5" s="45"/>
      <c r="O5" s="45"/>
      <c r="P5" s="84"/>
      <c r="Q5" s="45">
        <v>20398.71</v>
      </c>
      <c r="R5" s="45"/>
      <c r="S5" s="45"/>
      <c r="T5" s="96"/>
    </row>
    <row r="6" spans="1:20" ht="24.75" customHeight="1">
      <c r="A6" s="95"/>
      <c r="B6" s="188" t="s">
        <v>87</v>
      </c>
      <c r="C6" s="85"/>
      <c r="D6" s="44">
        <v>1900000</v>
      </c>
      <c r="E6" s="44">
        <f>E5+D6</f>
        <v>21159000</v>
      </c>
      <c r="F6" s="44">
        <v>12500626</v>
      </c>
      <c r="G6" s="44">
        <f>E6+F6</f>
        <v>33659626</v>
      </c>
      <c r="H6" s="87"/>
      <c r="I6" s="45">
        <f>(G6/12*13)/1936.27</f>
        <v>18832.391574177844</v>
      </c>
      <c r="J6" s="45">
        <f>I6-I5</f>
        <v>1063.04045062586</v>
      </c>
      <c r="K6" s="45">
        <f>I6-I5</f>
        <v>1063.04045062586</v>
      </c>
      <c r="L6" s="88"/>
      <c r="M6" s="45">
        <v>20307.89</v>
      </c>
      <c r="N6" s="45">
        <f>M6-M5</f>
        <v>1037.1800000000003</v>
      </c>
      <c r="O6" s="45">
        <f>(M6-M5)/12*13</f>
        <v>1123.611666666667</v>
      </c>
      <c r="P6" s="84"/>
      <c r="Q6" s="45">
        <v>21435.89</v>
      </c>
      <c r="R6" s="45">
        <f>Q6-Q5</f>
        <v>1037.1800000000003</v>
      </c>
      <c r="S6" s="45">
        <f>(Q6-Q5)/12*13</f>
        <v>1123.611666666667</v>
      </c>
      <c r="T6" s="96"/>
    </row>
    <row r="7" spans="1:20" ht="24.75" customHeight="1">
      <c r="A7" s="95"/>
      <c r="B7" s="188" t="s">
        <v>88</v>
      </c>
      <c r="C7" s="85"/>
      <c r="D7" s="44">
        <v>3296000</v>
      </c>
      <c r="E7" s="44">
        <f>E6+D7</f>
        <v>24455000</v>
      </c>
      <c r="F7" s="44">
        <v>12500626</v>
      </c>
      <c r="G7" s="44">
        <f>E7+F7</f>
        <v>36955626</v>
      </c>
      <c r="H7" s="87"/>
      <c r="I7" s="45">
        <f>(G7/12*13)/1936.27</f>
        <v>20676.487008526703</v>
      </c>
      <c r="J7" s="45">
        <f>I7-I6</f>
        <v>1844.0954343488593</v>
      </c>
      <c r="K7" s="45">
        <f>I7-I5</f>
        <v>2907.1358849747194</v>
      </c>
      <c r="L7" s="88"/>
      <c r="M7" s="45">
        <v>22246.54</v>
      </c>
      <c r="N7" s="45">
        <f>M7-M6</f>
        <v>1938.6500000000015</v>
      </c>
      <c r="O7" s="45">
        <f>(M7-M5)/12*13</f>
        <v>3223.8158333333354</v>
      </c>
      <c r="P7" s="84"/>
      <c r="Q7" s="45">
        <v>23492.14</v>
      </c>
      <c r="R7" s="45">
        <f>Q7-Q6</f>
        <v>2056.25</v>
      </c>
      <c r="S7" s="45">
        <f>(Q7-Q5)/12*13</f>
        <v>3351.2158333333336</v>
      </c>
      <c r="T7" s="96"/>
    </row>
    <row r="8" spans="1:20" ht="24.75" customHeight="1">
      <c r="A8" s="95"/>
      <c r="B8" s="188" t="s">
        <v>89</v>
      </c>
      <c r="C8" s="85"/>
      <c r="D8" s="44">
        <v>1733000</v>
      </c>
      <c r="E8" s="44">
        <f>E7+D8</f>
        <v>26188000</v>
      </c>
      <c r="F8" s="44">
        <v>12500626</v>
      </c>
      <c r="G8" s="44">
        <f>E8+F8</f>
        <v>38688626</v>
      </c>
      <c r="H8" s="87"/>
      <c r="I8" s="45">
        <f aca="true" t="shared" si="0" ref="I8:I40">(G8/12*13)/1936.27</f>
        <v>21646.09179849229</v>
      </c>
      <c r="J8" s="45">
        <f>I8-I7</f>
        <v>969.604789965586</v>
      </c>
      <c r="K8" s="45">
        <f>I8-I5</f>
        <v>3876.7406749403053</v>
      </c>
      <c r="L8" s="88"/>
      <c r="M8" s="45">
        <v>23286.16</v>
      </c>
      <c r="N8" s="45">
        <f>M8-M7</f>
        <v>1039.619999999999</v>
      </c>
      <c r="O8" s="45">
        <f>(M8-M5)/12*13</f>
        <v>4350.070833333334</v>
      </c>
      <c r="P8" s="84"/>
      <c r="Q8" s="45">
        <v>24531.76</v>
      </c>
      <c r="R8" s="45">
        <f>Q8-Q7</f>
        <v>1039.619999999999</v>
      </c>
      <c r="S8" s="45">
        <f>(Q8-Q5)/12*13</f>
        <v>4477.470833333333</v>
      </c>
      <c r="T8" s="96"/>
    </row>
    <row r="9" spans="1:20" ht="24.75" customHeight="1">
      <c r="A9" s="95"/>
      <c r="B9" s="188" t="s">
        <v>90</v>
      </c>
      <c r="C9" s="85"/>
      <c r="D9" s="44">
        <v>2000000</v>
      </c>
      <c r="E9" s="44">
        <f>E8+D9</f>
        <v>28188000</v>
      </c>
      <c r="F9" s="44">
        <v>12500626</v>
      </c>
      <c r="G9" s="44">
        <f>E9+F9</f>
        <v>40688626</v>
      </c>
      <c r="H9" s="87"/>
      <c r="I9" s="45">
        <f t="shared" si="0"/>
        <v>22765.081746519514</v>
      </c>
      <c r="J9" s="45">
        <f>I9-I8</f>
        <v>1118.9899480272252</v>
      </c>
      <c r="K9" s="45">
        <f>I9-I5</f>
        <v>4995.7306229675305</v>
      </c>
      <c r="L9" s="88"/>
      <c r="M9" s="45">
        <v>24419.26</v>
      </c>
      <c r="N9" s="45">
        <f>M9-M8</f>
        <v>1133.0999999999985</v>
      </c>
      <c r="O9" s="45">
        <f>(M9-M5)/12*13</f>
        <v>5577.595833333333</v>
      </c>
      <c r="P9" s="84"/>
      <c r="Q9" s="45">
        <v>25664.86</v>
      </c>
      <c r="R9" s="45">
        <f>Q9-Q8</f>
        <v>1133.1000000000022</v>
      </c>
      <c r="S9" s="45">
        <f>(Q9-Q5)/12*13</f>
        <v>5704.995833333335</v>
      </c>
      <c r="T9" s="96"/>
    </row>
    <row r="10" spans="1:20" ht="24.75" customHeight="1">
      <c r="A10" s="95"/>
      <c r="B10" s="188" t="s">
        <v>91</v>
      </c>
      <c r="C10" s="85"/>
      <c r="D10" s="44"/>
      <c r="E10" s="44"/>
      <c r="F10" s="44"/>
      <c r="G10" s="44"/>
      <c r="H10" s="87"/>
      <c r="I10" s="45"/>
      <c r="J10" s="45"/>
      <c r="K10" s="45"/>
      <c r="L10" s="88"/>
      <c r="M10" s="45">
        <v>25988.32</v>
      </c>
      <c r="N10" s="45">
        <f>M10-M9</f>
        <v>1569.0600000000013</v>
      </c>
      <c r="O10" s="45">
        <f>(M10-M5)/12*13</f>
        <v>7277.410833333333</v>
      </c>
      <c r="P10" s="84"/>
      <c r="Q10" s="45">
        <v>27410.32</v>
      </c>
      <c r="R10" s="45">
        <f>Q10-Q9</f>
        <v>1745.4599999999991</v>
      </c>
      <c r="S10" s="45">
        <f>(Q10-Q5)/12*13</f>
        <v>7595.910833333333</v>
      </c>
      <c r="T10" s="96"/>
    </row>
    <row r="11" spans="1:20" ht="9" customHeight="1">
      <c r="A11" s="95"/>
      <c r="B11" s="85"/>
      <c r="C11" s="85"/>
      <c r="D11" s="87"/>
      <c r="E11" s="87"/>
      <c r="F11" s="87"/>
      <c r="G11" s="87"/>
      <c r="H11" s="87"/>
      <c r="I11" s="88"/>
      <c r="J11" s="88"/>
      <c r="K11" s="88"/>
      <c r="L11" s="88"/>
      <c r="M11" s="88"/>
      <c r="N11" s="88"/>
      <c r="O11" s="88"/>
      <c r="P11" s="84"/>
      <c r="Q11" s="88"/>
      <c r="R11" s="88"/>
      <c r="S11" s="88"/>
      <c r="T11" s="96"/>
    </row>
    <row r="12" spans="1:20" ht="24.75" customHeight="1">
      <c r="A12" s="95"/>
      <c r="B12" s="188" t="s">
        <v>88</v>
      </c>
      <c r="C12" s="85"/>
      <c r="D12" s="194"/>
      <c r="E12" s="44">
        <v>24455000</v>
      </c>
      <c r="F12" s="44">
        <v>12846799</v>
      </c>
      <c r="G12" s="44">
        <f>E12+F12</f>
        <v>37301799</v>
      </c>
      <c r="H12" s="87"/>
      <c r="I12" s="45">
        <f t="shared" si="0"/>
        <v>20870.169062165918</v>
      </c>
      <c r="J12" s="45"/>
      <c r="K12" s="45"/>
      <c r="L12" s="88"/>
      <c r="M12" s="45">
        <v>22246.54</v>
      </c>
      <c r="N12" s="45"/>
      <c r="O12" s="45"/>
      <c r="P12" s="84"/>
      <c r="Q12" s="45">
        <v>23492.14</v>
      </c>
      <c r="R12" s="45"/>
      <c r="S12" s="45"/>
      <c r="T12" s="96"/>
    </row>
    <row r="13" spans="1:20" ht="24.75" customHeight="1">
      <c r="A13" s="95"/>
      <c r="B13" s="188" t="s">
        <v>89</v>
      </c>
      <c r="C13" s="85"/>
      <c r="D13" s="44">
        <v>1733000</v>
      </c>
      <c r="E13" s="44">
        <f>E12+D13</f>
        <v>26188000</v>
      </c>
      <c r="F13" s="44">
        <v>12846799</v>
      </c>
      <c r="G13" s="44">
        <f>E13+F13</f>
        <v>39034799</v>
      </c>
      <c r="H13" s="87"/>
      <c r="I13" s="45">
        <f t="shared" si="0"/>
        <v>21839.773852131504</v>
      </c>
      <c r="J13" s="45">
        <f>I13-I12</f>
        <v>969.604789965586</v>
      </c>
      <c r="K13" s="45">
        <f>I13-I12</f>
        <v>969.604789965586</v>
      </c>
      <c r="L13" s="88"/>
      <c r="M13" s="45">
        <v>23286.16</v>
      </c>
      <c r="N13" s="45">
        <f>M13-M12</f>
        <v>1039.619999999999</v>
      </c>
      <c r="O13" s="45">
        <f>(M13-M12)/12*13</f>
        <v>1126.254999999999</v>
      </c>
      <c r="P13" s="84"/>
      <c r="Q13" s="45">
        <v>24531.76</v>
      </c>
      <c r="R13" s="45">
        <f>Q13-Q12</f>
        <v>1039.619999999999</v>
      </c>
      <c r="S13" s="45">
        <f>(Q13-Q12)/12*13</f>
        <v>1126.254999999999</v>
      </c>
      <c r="T13" s="96"/>
    </row>
    <row r="14" spans="1:20" ht="24.75" customHeight="1">
      <c r="A14" s="95"/>
      <c r="B14" s="188" t="s">
        <v>90</v>
      </c>
      <c r="C14" s="85"/>
      <c r="D14" s="44">
        <v>2000000</v>
      </c>
      <c r="E14" s="44">
        <f>E13+D14</f>
        <v>28188000</v>
      </c>
      <c r="F14" s="44">
        <v>12846799</v>
      </c>
      <c r="G14" s="44">
        <f>E14+F14</f>
        <v>41034799</v>
      </c>
      <c r="H14" s="87"/>
      <c r="I14" s="45">
        <f t="shared" si="0"/>
        <v>22958.763800158726</v>
      </c>
      <c r="J14" s="45">
        <f>I14-I13</f>
        <v>1118.9899480272215</v>
      </c>
      <c r="K14" s="45">
        <f>I14-I12</f>
        <v>2088.5947379928075</v>
      </c>
      <c r="L14" s="88"/>
      <c r="M14" s="45">
        <v>24419.26</v>
      </c>
      <c r="N14" s="45">
        <f>M14-M13</f>
        <v>1133.0999999999985</v>
      </c>
      <c r="O14" s="45">
        <f>(M14-M12)/12*13</f>
        <v>2353.7799999999975</v>
      </c>
      <c r="P14" s="84"/>
      <c r="Q14" s="45">
        <v>25664.86</v>
      </c>
      <c r="R14" s="45">
        <f>Q14-Q13</f>
        <v>1133.1000000000022</v>
      </c>
      <c r="S14" s="45">
        <f>(Q14-Q12)/12*13</f>
        <v>2353.780000000001</v>
      </c>
      <c r="T14" s="96"/>
    </row>
    <row r="15" spans="1:20" ht="24.75" customHeight="1">
      <c r="A15" s="95"/>
      <c r="B15" s="188" t="s">
        <v>91</v>
      </c>
      <c r="C15" s="85"/>
      <c r="D15" s="44"/>
      <c r="E15" s="44"/>
      <c r="F15" s="44"/>
      <c r="G15" s="44"/>
      <c r="H15" s="87"/>
      <c r="I15" s="45"/>
      <c r="J15" s="45"/>
      <c r="K15" s="45"/>
      <c r="L15" s="88"/>
      <c r="M15" s="45">
        <v>25988.32</v>
      </c>
      <c r="N15" s="45">
        <f>M15-M14</f>
        <v>1569.0600000000013</v>
      </c>
      <c r="O15" s="45">
        <f>(M15-M12)/12*13</f>
        <v>4053.5949999999984</v>
      </c>
      <c r="P15" s="84"/>
      <c r="Q15" s="45">
        <v>27410.32</v>
      </c>
      <c r="R15" s="45">
        <f>Q15-Q14</f>
        <v>1745.4599999999991</v>
      </c>
      <c r="S15" s="45">
        <f>(Q15-Q12)/12*13</f>
        <v>4244.695000000001</v>
      </c>
      <c r="T15" s="96"/>
    </row>
    <row r="16" spans="1:20" ht="9" customHeight="1">
      <c r="A16" s="95"/>
      <c r="B16" s="85"/>
      <c r="C16" s="85"/>
      <c r="D16" s="87"/>
      <c r="E16" s="87"/>
      <c r="F16" s="87"/>
      <c r="G16" s="87"/>
      <c r="H16" s="87"/>
      <c r="I16" s="88"/>
      <c r="J16" s="88"/>
      <c r="K16" s="84"/>
      <c r="L16" s="84"/>
      <c r="M16" s="88"/>
      <c r="N16" s="88"/>
      <c r="O16" s="88"/>
      <c r="P16" s="84"/>
      <c r="Q16" s="88"/>
      <c r="R16" s="88"/>
      <c r="S16" s="88"/>
      <c r="T16" s="96"/>
    </row>
    <row r="17" spans="1:20" ht="24.75" customHeight="1">
      <c r="A17" s="95"/>
      <c r="B17" s="194" t="s">
        <v>80</v>
      </c>
      <c r="C17" s="91"/>
      <c r="D17" s="194"/>
      <c r="E17" s="44">
        <v>16695000</v>
      </c>
      <c r="F17" s="44">
        <v>12355767</v>
      </c>
      <c r="G17" s="44">
        <f>E17+F17</f>
        <v>29050767</v>
      </c>
      <c r="H17" s="87"/>
      <c r="I17" s="45">
        <f t="shared" si="0"/>
        <v>16253.75812774045</v>
      </c>
      <c r="J17" s="45"/>
      <c r="K17" s="45"/>
      <c r="L17" s="88"/>
      <c r="M17" s="45">
        <v>17603.75</v>
      </c>
      <c r="N17" s="45"/>
      <c r="O17" s="45"/>
      <c r="P17" s="84"/>
      <c r="Q17" s="45">
        <v>18695.75</v>
      </c>
      <c r="R17" s="45"/>
      <c r="S17" s="45"/>
      <c r="T17" s="96"/>
    </row>
    <row r="18" spans="1:20" ht="24.75" customHeight="1">
      <c r="A18" s="95"/>
      <c r="B18" s="188" t="s">
        <v>81</v>
      </c>
      <c r="C18" s="85"/>
      <c r="D18" s="44">
        <v>800000</v>
      </c>
      <c r="E18" s="44">
        <f>(E17+800000)</f>
        <v>17495000</v>
      </c>
      <c r="F18" s="44">
        <v>12355767</v>
      </c>
      <c r="G18" s="44">
        <f>E18+F18</f>
        <v>29850767</v>
      </c>
      <c r="H18" s="87"/>
      <c r="I18" s="45">
        <f t="shared" si="0"/>
        <v>16701.354106951338</v>
      </c>
      <c r="J18" s="45">
        <f>I18-I17</f>
        <v>447.5959792108879</v>
      </c>
      <c r="K18" s="45">
        <f>I18-I17</f>
        <v>447.5959792108879</v>
      </c>
      <c r="L18" s="88"/>
      <c r="M18" s="45">
        <v>18067.46</v>
      </c>
      <c r="N18" s="45">
        <f>M18-M17</f>
        <v>463.7099999999991</v>
      </c>
      <c r="O18" s="45">
        <f>(M18-M17)/12*13</f>
        <v>502.35249999999905</v>
      </c>
      <c r="P18" s="84"/>
      <c r="Q18" s="45">
        <v>19159.46</v>
      </c>
      <c r="R18" s="45">
        <f>Q18-Q17</f>
        <v>463.7099999999991</v>
      </c>
      <c r="S18" s="45">
        <f>(Q18-Q17)/12*13</f>
        <v>502.35249999999905</v>
      </c>
      <c r="T18" s="96"/>
    </row>
    <row r="19" spans="1:20" ht="24.75" customHeight="1">
      <c r="A19" s="95"/>
      <c r="B19" s="188" t="s">
        <v>82</v>
      </c>
      <c r="C19" s="85"/>
      <c r="D19" s="44">
        <v>829000</v>
      </c>
      <c r="E19" s="44">
        <f>(E18+829000)</f>
        <v>18324000</v>
      </c>
      <c r="F19" s="44">
        <v>12355767</v>
      </c>
      <c r="G19" s="44">
        <f>E19+F19</f>
        <v>30679767</v>
      </c>
      <c r="H19" s="87"/>
      <c r="I19" s="45">
        <f t="shared" si="0"/>
        <v>17165.17544040862</v>
      </c>
      <c r="J19" s="45">
        <f>I19-I18</f>
        <v>463.8213334572829</v>
      </c>
      <c r="K19" s="45">
        <f>I19-I17</f>
        <v>911.4173126681708</v>
      </c>
      <c r="L19" s="88"/>
      <c r="M19" s="45">
        <v>18605.42</v>
      </c>
      <c r="N19" s="45">
        <f>M19-M18</f>
        <v>537.9599999999991</v>
      </c>
      <c r="O19" s="45">
        <f>(M19-M17)/12*13</f>
        <v>1085.142499999998</v>
      </c>
      <c r="P19" s="84"/>
      <c r="Q19" s="45">
        <v>19709.42</v>
      </c>
      <c r="R19" s="45">
        <f>Q19-Q18</f>
        <v>549.9599999999991</v>
      </c>
      <c r="S19" s="45">
        <f>(Q19-Q17)/12*13</f>
        <v>1098.142499999998</v>
      </c>
      <c r="T19" s="96"/>
    </row>
    <row r="20" spans="1:20" ht="24.75" customHeight="1">
      <c r="A20" s="95"/>
      <c r="B20" s="188" t="s">
        <v>83</v>
      </c>
      <c r="C20" s="85"/>
      <c r="D20" s="44">
        <v>1100000</v>
      </c>
      <c r="E20" s="44">
        <f>(E19+1100000)</f>
        <v>19424000</v>
      </c>
      <c r="F20" s="44">
        <v>12355767</v>
      </c>
      <c r="G20" s="44">
        <f>E20+F20</f>
        <v>31779767</v>
      </c>
      <c r="H20" s="87"/>
      <c r="I20" s="45">
        <f t="shared" si="0"/>
        <v>17780.619911823593</v>
      </c>
      <c r="J20" s="45">
        <f>I20-I19</f>
        <v>615.4444714149722</v>
      </c>
      <c r="K20" s="45">
        <f>I20-I17</f>
        <v>1526.861784083143</v>
      </c>
      <c r="L20" s="88"/>
      <c r="M20" s="45">
        <v>19252.91</v>
      </c>
      <c r="N20" s="45">
        <f>M20-M19</f>
        <v>647.4900000000016</v>
      </c>
      <c r="O20" s="45">
        <f>(M20-M17)/12*13</f>
        <v>1786.5899999999997</v>
      </c>
      <c r="P20" s="84"/>
      <c r="Q20" s="45">
        <v>20356.91</v>
      </c>
      <c r="R20" s="45">
        <f>Q20-Q19</f>
        <v>647.4900000000016</v>
      </c>
      <c r="S20" s="45">
        <f>(Q20-Q17)/12*13</f>
        <v>1799.5899999999997</v>
      </c>
      <c r="T20" s="96"/>
    </row>
    <row r="21" spans="1:20" ht="24.75" customHeight="1">
      <c r="A21" s="95"/>
      <c r="B21" s="188" t="s">
        <v>84</v>
      </c>
      <c r="C21" s="85"/>
      <c r="D21" s="44"/>
      <c r="E21" s="44"/>
      <c r="F21" s="44"/>
      <c r="G21" s="44"/>
      <c r="H21" s="87"/>
      <c r="I21" s="45"/>
      <c r="J21" s="45"/>
      <c r="K21" s="45"/>
      <c r="L21" s="88"/>
      <c r="M21" s="45">
        <v>19988.52</v>
      </c>
      <c r="N21" s="45">
        <f>M21-M20</f>
        <v>735.6100000000006</v>
      </c>
      <c r="O21" s="45">
        <f>(M21-M17)/12*13</f>
        <v>2583.500833333334</v>
      </c>
      <c r="P21" s="84"/>
      <c r="Q21" s="45">
        <v>21128.52</v>
      </c>
      <c r="R21" s="45">
        <f>Q21-Q20</f>
        <v>771.6100000000006</v>
      </c>
      <c r="S21" s="45">
        <f>(Q21-Q17)/12*13</f>
        <v>2635.500833333334</v>
      </c>
      <c r="T21" s="96"/>
    </row>
    <row r="22" spans="1:20" ht="9" customHeight="1">
      <c r="A22" s="95"/>
      <c r="B22" s="85"/>
      <c r="C22" s="85"/>
      <c r="D22" s="91"/>
      <c r="E22" s="85"/>
      <c r="F22" s="85"/>
      <c r="G22" s="85"/>
      <c r="H22" s="85"/>
      <c r="I22" s="88"/>
      <c r="J22" s="88"/>
      <c r="K22" s="84"/>
      <c r="L22" s="84"/>
      <c r="M22" s="88"/>
      <c r="N22" s="88"/>
      <c r="O22" s="88"/>
      <c r="P22" s="84"/>
      <c r="Q22" s="88"/>
      <c r="R22" s="88"/>
      <c r="S22" s="88"/>
      <c r="T22" s="96"/>
    </row>
    <row r="23" spans="1:20" ht="24.75" customHeight="1">
      <c r="A23" s="95"/>
      <c r="B23" s="194" t="s">
        <v>72</v>
      </c>
      <c r="C23" s="91"/>
      <c r="D23" s="194"/>
      <c r="E23" s="44">
        <v>13741000</v>
      </c>
      <c r="F23" s="44">
        <v>12166621</v>
      </c>
      <c r="G23" s="44">
        <f aca="true" t="shared" si="1" ref="G23:G28">E23+F23</f>
        <v>25907621</v>
      </c>
      <c r="H23" s="87"/>
      <c r="I23" s="45">
        <f t="shared" si="0"/>
        <v>14495.183738149464</v>
      </c>
      <c r="J23" s="45"/>
      <c r="K23" s="45"/>
      <c r="L23" s="88"/>
      <c r="M23" s="45">
        <v>15689.51</v>
      </c>
      <c r="N23" s="45"/>
      <c r="O23" s="45"/>
      <c r="P23" s="84"/>
      <c r="Q23" s="45">
        <v>16613.51</v>
      </c>
      <c r="R23" s="45"/>
      <c r="S23" s="45"/>
      <c r="T23" s="96"/>
    </row>
    <row r="24" spans="1:20" ht="24.75" customHeight="1">
      <c r="A24" s="95"/>
      <c r="B24" s="188" t="s">
        <v>73</v>
      </c>
      <c r="C24" s="85"/>
      <c r="D24" s="44">
        <v>536000</v>
      </c>
      <c r="E24" s="44">
        <f>E23+D24</f>
        <v>14277000</v>
      </c>
      <c r="F24" s="44">
        <v>12166621</v>
      </c>
      <c r="G24" s="44">
        <f t="shared" si="1"/>
        <v>26443621</v>
      </c>
      <c r="H24" s="87"/>
      <c r="I24" s="45">
        <f t="shared" si="0"/>
        <v>14795.073044220762</v>
      </c>
      <c r="J24" s="45">
        <f>I24-I23</f>
        <v>299.88930607129805</v>
      </c>
      <c r="K24" s="45">
        <f>I24-I23</f>
        <v>299.88930607129805</v>
      </c>
      <c r="L24" s="88"/>
      <c r="M24" s="45">
        <v>15976.41</v>
      </c>
      <c r="N24" s="45">
        <f aca="true" t="shared" si="2" ref="N24:N29">M24-M23</f>
        <v>286.89999999999964</v>
      </c>
      <c r="O24" s="45">
        <f>(M24-M23)/12*13</f>
        <v>310.80833333333294</v>
      </c>
      <c r="P24" s="84"/>
      <c r="Q24" s="45">
        <v>16900.41</v>
      </c>
      <c r="R24" s="45">
        <f aca="true" t="shared" si="3" ref="R24:R29">Q24-Q23</f>
        <v>286.90000000000146</v>
      </c>
      <c r="S24" s="45">
        <f>(Q24-Q23)/12*13</f>
        <v>310.80833333333493</v>
      </c>
      <c r="T24" s="96"/>
    </row>
    <row r="25" spans="1:20" ht="24.75" customHeight="1">
      <c r="A25" s="95"/>
      <c r="B25" s="188" t="s">
        <v>74</v>
      </c>
      <c r="C25" s="85"/>
      <c r="D25" s="44">
        <v>1008000</v>
      </c>
      <c r="E25" s="44">
        <f>E24+D25</f>
        <v>15285000</v>
      </c>
      <c r="F25" s="44">
        <v>12166621</v>
      </c>
      <c r="G25" s="44">
        <f t="shared" si="1"/>
        <v>27451621</v>
      </c>
      <c r="H25" s="87"/>
      <c r="I25" s="45">
        <f t="shared" si="0"/>
        <v>15359.043978026482</v>
      </c>
      <c r="J25" s="45">
        <f>I25-I24</f>
        <v>563.97093380572</v>
      </c>
      <c r="K25" s="45">
        <f>I25-I23</f>
        <v>863.8602398770181</v>
      </c>
      <c r="L25" s="88"/>
      <c r="M25" s="45">
        <v>16585.92</v>
      </c>
      <c r="N25" s="45">
        <f t="shared" si="2"/>
        <v>609.5099999999984</v>
      </c>
      <c r="O25" s="45">
        <f>(M25-M23)/12*13</f>
        <v>971.1108333333311</v>
      </c>
      <c r="P25" s="84"/>
      <c r="Q25" s="45">
        <v>17562.72</v>
      </c>
      <c r="R25" s="45">
        <f t="shared" si="3"/>
        <v>662.3100000000013</v>
      </c>
      <c r="S25" s="45">
        <f>(Q25-Q23)/12*13</f>
        <v>1028.3108333333364</v>
      </c>
      <c r="T25" s="96"/>
    </row>
    <row r="26" spans="1:20" ht="24.75" customHeight="1">
      <c r="A26" s="95"/>
      <c r="B26" s="188" t="s">
        <v>75</v>
      </c>
      <c r="C26" s="85"/>
      <c r="D26" s="44">
        <v>444000</v>
      </c>
      <c r="E26" s="44">
        <f>E25+D26</f>
        <v>15729000</v>
      </c>
      <c r="F26" s="44">
        <v>12166621</v>
      </c>
      <c r="G26" s="44">
        <f t="shared" si="1"/>
        <v>27895621</v>
      </c>
      <c r="H26" s="87"/>
      <c r="I26" s="45">
        <f t="shared" si="0"/>
        <v>15607.459746488525</v>
      </c>
      <c r="J26" s="45">
        <f>I26-I25</f>
        <v>248.41576846204225</v>
      </c>
      <c r="K26" s="45">
        <f>I26-I23</f>
        <v>1112.2760083390604</v>
      </c>
      <c r="L26" s="88"/>
      <c r="M26" s="45">
        <v>16852.61</v>
      </c>
      <c r="N26" s="45">
        <f t="shared" si="2"/>
        <v>266.6900000000023</v>
      </c>
      <c r="O26" s="45">
        <f>(M26-M23)/12*13</f>
        <v>1260.0250000000003</v>
      </c>
      <c r="P26" s="84"/>
      <c r="Q26" s="45">
        <v>17829.41</v>
      </c>
      <c r="R26" s="45">
        <f t="shared" si="3"/>
        <v>266.6899999999987</v>
      </c>
      <c r="S26" s="45">
        <f>(Q26-Q23)/12*13</f>
        <v>1317.2250000000015</v>
      </c>
      <c r="T26" s="96"/>
    </row>
    <row r="27" spans="1:20" ht="24.75" customHeight="1">
      <c r="A27" s="95"/>
      <c r="B27" s="188" t="s">
        <v>76</v>
      </c>
      <c r="C27" s="85"/>
      <c r="D27" s="44">
        <v>547000</v>
      </c>
      <c r="E27" s="44">
        <f>E26+D27</f>
        <v>16276000</v>
      </c>
      <c r="F27" s="44">
        <v>12166621</v>
      </c>
      <c r="G27" s="44">
        <f t="shared" si="1"/>
        <v>28442621</v>
      </c>
      <c r="H27" s="87"/>
      <c r="I27" s="45">
        <f t="shared" si="0"/>
        <v>15913.503497273967</v>
      </c>
      <c r="J27" s="45">
        <f>I27-I26</f>
        <v>306.04375078544217</v>
      </c>
      <c r="K27" s="45">
        <f>I27-I23</f>
        <v>1418.3197591245025</v>
      </c>
      <c r="L27" s="88"/>
      <c r="M27" s="45">
        <v>17164.79</v>
      </c>
      <c r="N27" s="45">
        <f t="shared" si="2"/>
        <v>312.1800000000003</v>
      </c>
      <c r="O27" s="45">
        <f>(M27-M23)/12*13</f>
        <v>1598.2200000000007</v>
      </c>
      <c r="P27" s="84"/>
      <c r="Q27" s="45">
        <v>18141.59</v>
      </c>
      <c r="R27" s="45">
        <f t="shared" si="3"/>
        <v>312.1800000000003</v>
      </c>
      <c r="S27" s="45">
        <f>(Q27-Q23)/12*13</f>
        <v>1655.420000000002</v>
      </c>
      <c r="T27" s="96"/>
    </row>
    <row r="28" spans="1:20" ht="24.75" customHeight="1">
      <c r="A28" s="95"/>
      <c r="B28" s="188" t="s">
        <v>77</v>
      </c>
      <c r="C28" s="85"/>
      <c r="D28" s="44">
        <v>600000</v>
      </c>
      <c r="E28" s="44">
        <f>E27+D28</f>
        <v>16876000</v>
      </c>
      <c r="F28" s="44">
        <v>12166621</v>
      </c>
      <c r="G28" s="44">
        <f t="shared" si="1"/>
        <v>29042621</v>
      </c>
      <c r="H28" s="87"/>
      <c r="I28" s="45">
        <f t="shared" si="0"/>
        <v>16249.200481682134</v>
      </c>
      <c r="J28" s="45">
        <f>I28-I27</f>
        <v>335.6969844081668</v>
      </c>
      <c r="K28" s="45">
        <f>I28-I23</f>
        <v>1754.0167435326694</v>
      </c>
      <c r="L28" s="88"/>
      <c r="M28" s="45">
        <v>17499.58</v>
      </c>
      <c r="N28" s="45">
        <f t="shared" si="2"/>
        <v>334.7900000000009</v>
      </c>
      <c r="O28" s="45">
        <f>(M28-M23)/12*13</f>
        <v>1960.9091666666682</v>
      </c>
      <c r="P28" s="84"/>
      <c r="Q28" s="45">
        <v>18476.38</v>
      </c>
      <c r="R28" s="45">
        <f t="shared" si="3"/>
        <v>334.7900000000009</v>
      </c>
      <c r="S28" s="45">
        <f>(Q28-Q23)/12*13</f>
        <v>2018.1091666666694</v>
      </c>
      <c r="T28" s="96"/>
    </row>
    <row r="29" spans="1:20" ht="24.75" customHeight="1">
      <c r="A29" s="95"/>
      <c r="B29" s="188" t="s">
        <v>78</v>
      </c>
      <c r="C29" s="85"/>
      <c r="D29" s="44"/>
      <c r="E29" s="44"/>
      <c r="F29" s="44"/>
      <c r="G29" s="44"/>
      <c r="H29" s="87"/>
      <c r="I29" s="45"/>
      <c r="J29" s="45"/>
      <c r="K29" s="45"/>
      <c r="L29" s="88"/>
      <c r="M29" s="45">
        <v>18011.2</v>
      </c>
      <c r="N29" s="45">
        <f t="shared" si="2"/>
        <v>511.619999999999</v>
      </c>
      <c r="O29" s="45">
        <f>(M29-M23)/12*13</f>
        <v>2515.1641666666674</v>
      </c>
      <c r="P29" s="84"/>
      <c r="Q29" s="45">
        <v>19115.2</v>
      </c>
      <c r="R29" s="45">
        <f t="shared" si="3"/>
        <v>638.8199999999997</v>
      </c>
      <c r="S29" s="45">
        <f>(Q29-Q23)/12*13</f>
        <v>2710.164166666669</v>
      </c>
      <c r="T29" s="96"/>
    </row>
    <row r="30" spans="1:20" ht="9" customHeight="1">
      <c r="A30" s="95"/>
      <c r="B30" s="85"/>
      <c r="C30" s="85"/>
      <c r="D30" s="87"/>
      <c r="E30" s="87"/>
      <c r="F30" s="87"/>
      <c r="G30" s="87"/>
      <c r="H30" s="87"/>
      <c r="I30" s="88"/>
      <c r="J30" s="88"/>
      <c r="K30" s="84"/>
      <c r="L30" s="84"/>
      <c r="M30" s="88"/>
      <c r="N30" s="88"/>
      <c r="O30" s="88"/>
      <c r="P30" s="84"/>
      <c r="Q30" s="88"/>
      <c r="R30" s="88"/>
      <c r="S30" s="88"/>
      <c r="T30" s="96"/>
    </row>
    <row r="31" spans="1:20" ht="24.75" customHeight="1">
      <c r="A31" s="95"/>
      <c r="B31" s="188" t="s">
        <v>74</v>
      </c>
      <c r="C31" s="85"/>
      <c r="D31" s="44"/>
      <c r="E31" s="44">
        <v>15285000</v>
      </c>
      <c r="F31" s="44">
        <v>12273723</v>
      </c>
      <c r="G31" s="44">
        <f>E31+F31</f>
        <v>27558723</v>
      </c>
      <c r="H31" s="87"/>
      <c r="I31" s="45">
        <f t="shared" si="0"/>
        <v>15418.967008733287</v>
      </c>
      <c r="J31" s="45"/>
      <c r="K31" s="45"/>
      <c r="L31" s="88"/>
      <c r="M31" s="45">
        <v>16585.92</v>
      </c>
      <c r="N31" s="45"/>
      <c r="O31" s="45"/>
      <c r="P31" s="84"/>
      <c r="Q31" s="45">
        <v>17562.72</v>
      </c>
      <c r="R31" s="45"/>
      <c r="S31" s="45"/>
      <c r="T31" s="96"/>
    </row>
    <row r="32" spans="1:20" ht="24.75" customHeight="1">
      <c r="A32" s="95"/>
      <c r="B32" s="188" t="s">
        <v>75</v>
      </c>
      <c r="C32" s="85"/>
      <c r="D32" s="44">
        <v>444000</v>
      </c>
      <c r="E32" s="44">
        <f>E31+D32</f>
        <v>15729000</v>
      </c>
      <c r="F32" s="44">
        <v>12273723</v>
      </c>
      <c r="G32" s="44">
        <f>E32+F32</f>
        <v>28002723</v>
      </c>
      <c r="H32" s="87"/>
      <c r="I32" s="45">
        <f t="shared" si="0"/>
        <v>15667.38277719533</v>
      </c>
      <c r="J32" s="45">
        <f>I32-I31</f>
        <v>248.41576846204225</v>
      </c>
      <c r="K32" s="45">
        <f>I32-I31</f>
        <v>248.41576846204225</v>
      </c>
      <c r="L32" s="88"/>
      <c r="M32" s="45">
        <v>16852.61</v>
      </c>
      <c r="N32" s="45">
        <f>M32-M31</f>
        <v>266.6900000000023</v>
      </c>
      <c r="O32" s="45">
        <f>(M32-M31)/12*13</f>
        <v>288.9141666666692</v>
      </c>
      <c r="P32" s="84"/>
      <c r="Q32" s="45">
        <v>17829.41</v>
      </c>
      <c r="R32" s="45">
        <f>Q32-Q31</f>
        <v>266.6899999999987</v>
      </c>
      <c r="S32" s="45">
        <f>(Q32-Q31)/12*13</f>
        <v>288.91416666666527</v>
      </c>
      <c r="T32" s="96"/>
    </row>
    <row r="33" spans="1:20" ht="24.75" customHeight="1">
      <c r="A33" s="95"/>
      <c r="B33" s="188" t="s">
        <v>76</v>
      </c>
      <c r="C33" s="85"/>
      <c r="D33" s="44">
        <v>547000</v>
      </c>
      <c r="E33" s="44">
        <f>E32+D33</f>
        <v>16276000</v>
      </c>
      <c r="F33" s="44">
        <v>12273723</v>
      </c>
      <c r="G33" s="44">
        <f>E33+F33</f>
        <v>28549723</v>
      </c>
      <c r="H33" s="87"/>
      <c r="I33" s="45">
        <f t="shared" si="0"/>
        <v>15973.426527980775</v>
      </c>
      <c r="J33" s="45">
        <f>I33-I32</f>
        <v>306.0437507854458</v>
      </c>
      <c r="K33" s="45">
        <f>I33-I31</f>
        <v>554.4595192474881</v>
      </c>
      <c r="L33" s="88"/>
      <c r="M33" s="45">
        <v>17164.79</v>
      </c>
      <c r="N33" s="45">
        <f>M33-M32</f>
        <v>312.1800000000003</v>
      </c>
      <c r="O33" s="45">
        <f>(M33-M31)/12*13</f>
        <v>627.1091666666695</v>
      </c>
      <c r="P33" s="84"/>
      <c r="Q33" s="45">
        <v>18141.59</v>
      </c>
      <c r="R33" s="45">
        <f>Q33-Q32</f>
        <v>312.1800000000003</v>
      </c>
      <c r="S33" s="45">
        <f>(Q33-Q31)/12*13</f>
        <v>627.1091666666656</v>
      </c>
      <c r="T33" s="96"/>
    </row>
    <row r="34" spans="1:20" ht="24.75" customHeight="1">
      <c r="A34" s="95"/>
      <c r="B34" s="188" t="s">
        <v>77</v>
      </c>
      <c r="C34" s="85"/>
      <c r="D34" s="44">
        <v>600000</v>
      </c>
      <c r="E34" s="44">
        <f>E33+D34</f>
        <v>16876000</v>
      </c>
      <c r="F34" s="44">
        <v>12273723</v>
      </c>
      <c r="G34" s="44">
        <f>E34+F34</f>
        <v>29149723</v>
      </c>
      <c r="H34" s="87"/>
      <c r="I34" s="45">
        <f t="shared" si="0"/>
        <v>16309.123512388942</v>
      </c>
      <c r="J34" s="45">
        <f>I34-I33</f>
        <v>335.6969844081668</v>
      </c>
      <c r="K34" s="45">
        <f>I34-I31</f>
        <v>890.1565036556549</v>
      </c>
      <c r="L34" s="88"/>
      <c r="M34" s="45">
        <v>17499.58</v>
      </c>
      <c r="N34" s="45">
        <f>M34-M33</f>
        <v>334.7900000000009</v>
      </c>
      <c r="O34" s="45">
        <f>(M34-M31)/12*13</f>
        <v>989.798333333337</v>
      </c>
      <c r="P34" s="84"/>
      <c r="Q34" s="45">
        <v>18476.38</v>
      </c>
      <c r="R34" s="45">
        <f>Q34-Q33</f>
        <v>334.7900000000009</v>
      </c>
      <c r="S34" s="45">
        <f>(Q34-Q31)/12*13</f>
        <v>989.7983333333332</v>
      </c>
      <c r="T34" s="96"/>
    </row>
    <row r="35" spans="1:20" ht="24.75" customHeight="1">
      <c r="A35" s="95"/>
      <c r="B35" s="188"/>
      <c r="C35" s="85"/>
      <c r="D35" s="44"/>
      <c r="E35" s="44"/>
      <c r="F35" s="44"/>
      <c r="G35" s="44"/>
      <c r="H35" s="87"/>
      <c r="I35" s="45"/>
      <c r="J35" s="45"/>
      <c r="K35" s="45"/>
      <c r="L35" s="88"/>
      <c r="M35" s="45">
        <v>18011.2</v>
      </c>
      <c r="N35" s="45">
        <f>M35-M34</f>
        <v>511.619999999999</v>
      </c>
      <c r="O35" s="45">
        <f>(M35-M31)/12*13</f>
        <v>1544.053333333336</v>
      </c>
      <c r="P35" s="84"/>
      <c r="Q35" s="45">
        <v>19115.2</v>
      </c>
      <c r="R35" s="45">
        <f>Q35-Q34</f>
        <v>638.8199999999997</v>
      </c>
      <c r="S35" s="45">
        <f>(Q35-Q31)/12*13</f>
        <v>1681.853333333333</v>
      </c>
      <c r="T35" s="96"/>
    </row>
    <row r="36" spans="1:20" ht="9" customHeight="1">
      <c r="A36" s="95"/>
      <c r="B36" s="85"/>
      <c r="C36" s="85"/>
      <c r="D36" s="87"/>
      <c r="E36" s="86"/>
      <c r="F36" s="86"/>
      <c r="G36" s="86"/>
      <c r="H36" s="86"/>
      <c r="I36" s="88"/>
      <c r="J36" s="88"/>
      <c r="K36" s="84"/>
      <c r="L36" s="84"/>
      <c r="M36" s="88"/>
      <c r="N36" s="88"/>
      <c r="O36" s="88"/>
      <c r="P36" s="84"/>
      <c r="Q36" s="88"/>
      <c r="R36" s="88"/>
      <c r="S36" s="88"/>
      <c r="T36" s="96"/>
    </row>
    <row r="37" spans="1:20" ht="24.75" customHeight="1">
      <c r="A37" s="95"/>
      <c r="B37" s="194" t="s">
        <v>66</v>
      </c>
      <c r="C37" s="91"/>
      <c r="D37" s="194"/>
      <c r="E37" s="44">
        <v>12489000</v>
      </c>
      <c r="F37" s="44">
        <v>12090354</v>
      </c>
      <c r="G37" s="44">
        <f>E37+F37</f>
        <v>24579354</v>
      </c>
      <c r="H37" s="87"/>
      <c r="I37" s="45">
        <f t="shared" si="0"/>
        <v>13752.02502750133</v>
      </c>
      <c r="J37" s="45"/>
      <c r="K37" s="45"/>
      <c r="L37" s="88"/>
      <c r="M37" s="45">
        <v>14860.17</v>
      </c>
      <c r="N37" s="45"/>
      <c r="O37" s="45"/>
      <c r="P37" s="84"/>
      <c r="Q37" s="45">
        <v>15724.17</v>
      </c>
      <c r="R37" s="45"/>
      <c r="S37" s="45"/>
      <c r="T37" s="96"/>
    </row>
    <row r="38" spans="1:20" ht="24.75" customHeight="1">
      <c r="A38" s="95"/>
      <c r="B38" s="188" t="s">
        <v>67</v>
      </c>
      <c r="C38" s="85"/>
      <c r="D38" s="44">
        <v>400000</v>
      </c>
      <c r="E38" s="44">
        <f>(E37+D38)</f>
        <v>12889000</v>
      </c>
      <c r="F38" s="44">
        <v>12090354</v>
      </c>
      <c r="G38" s="44">
        <f>E38+F38</f>
        <v>24979354</v>
      </c>
      <c r="H38" s="87"/>
      <c r="I38" s="45">
        <f t="shared" si="0"/>
        <v>13975.823017106773</v>
      </c>
      <c r="J38" s="45">
        <f>I38-I37</f>
        <v>223.79798960544395</v>
      </c>
      <c r="K38" s="45">
        <f>I38-I37</f>
        <v>223.79798960544395</v>
      </c>
      <c r="L38" s="88"/>
      <c r="M38" s="45">
        <v>15079.55</v>
      </c>
      <c r="N38" s="45">
        <f>M38-M37</f>
        <v>219.3799999999992</v>
      </c>
      <c r="O38" s="45">
        <f>(M38-M37)/12*13</f>
        <v>237.66166666666578</v>
      </c>
      <c r="P38" s="84"/>
      <c r="Q38" s="45">
        <v>15943.55</v>
      </c>
      <c r="R38" s="45">
        <f>Q38-Q37</f>
        <v>219.3799999999992</v>
      </c>
      <c r="S38" s="45">
        <f>(Q38-Q37)/12*13</f>
        <v>237.66166666666578</v>
      </c>
      <c r="T38" s="96"/>
    </row>
    <row r="39" spans="1:20" ht="24.75" customHeight="1">
      <c r="A39" s="95"/>
      <c r="B39" s="188" t="s">
        <v>68</v>
      </c>
      <c r="C39" s="85"/>
      <c r="D39" s="44">
        <v>503000</v>
      </c>
      <c r="E39" s="44">
        <f>(E38+D39)</f>
        <v>13392000</v>
      </c>
      <c r="F39" s="44">
        <v>12090354</v>
      </c>
      <c r="G39" s="44">
        <f>E39+F39</f>
        <v>25482354</v>
      </c>
      <c r="H39" s="87"/>
      <c r="I39" s="45">
        <f t="shared" si="0"/>
        <v>14257.248989035621</v>
      </c>
      <c r="J39" s="45">
        <f>I39-I38</f>
        <v>281.4259719288475</v>
      </c>
      <c r="K39" s="45">
        <f>I39-I37</f>
        <v>505.22396153429145</v>
      </c>
      <c r="L39" s="88"/>
      <c r="M39" s="45">
        <v>15389.16</v>
      </c>
      <c r="N39" s="45">
        <f>M39-M38</f>
        <v>309.6100000000006</v>
      </c>
      <c r="O39" s="45">
        <f>(M39-M37)/12*13</f>
        <v>573.0724999999998</v>
      </c>
      <c r="P39" s="84"/>
      <c r="Q39" s="45">
        <v>16277.04</v>
      </c>
      <c r="R39" s="45">
        <f>Q39-Q38</f>
        <v>333.4900000000016</v>
      </c>
      <c r="S39" s="45">
        <f>(Q39-Q37)/12*13</f>
        <v>598.9425000000009</v>
      </c>
      <c r="T39" s="96"/>
    </row>
    <row r="40" spans="1:20" ht="24.75" customHeight="1">
      <c r="A40" s="95"/>
      <c r="B40" s="188" t="s">
        <v>69</v>
      </c>
      <c r="C40" s="85"/>
      <c r="D40" s="44">
        <v>500000</v>
      </c>
      <c r="E40" s="44">
        <f>(E39+D40)</f>
        <v>13892000</v>
      </c>
      <c r="F40" s="44">
        <v>12090354</v>
      </c>
      <c r="G40" s="44">
        <f>E40+F40</f>
        <v>25982354</v>
      </c>
      <c r="H40" s="87"/>
      <c r="I40" s="45">
        <f t="shared" si="0"/>
        <v>14536.996476042425</v>
      </c>
      <c r="J40" s="45">
        <f>I40-I39</f>
        <v>279.74748700680357</v>
      </c>
      <c r="K40" s="45">
        <f>I40-I37</f>
        <v>784.971448541095</v>
      </c>
      <c r="L40" s="88"/>
      <c r="M40" s="45">
        <v>15688.86</v>
      </c>
      <c r="N40" s="45">
        <f>M40-M39</f>
        <v>299.7000000000007</v>
      </c>
      <c r="O40" s="45">
        <f>(M40-M37)/12*13</f>
        <v>897.7475000000006</v>
      </c>
      <c r="P40" s="84"/>
      <c r="Q40" s="45">
        <v>16576.86</v>
      </c>
      <c r="R40" s="45">
        <f>Q40-Q39</f>
        <v>299.8199999999997</v>
      </c>
      <c r="S40" s="45">
        <f>(Q40-Q37)/12*13</f>
        <v>923.7475000000006</v>
      </c>
      <c r="T40" s="96"/>
    </row>
    <row r="41" spans="1:20" ht="24.75" customHeight="1">
      <c r="A41" s="95"/>
      <c r="B41" s="193" t="s">
        <v>70</v>
      </c>
      <c r="C41" s="85"/>
      <c r="D41" s="195"/>
      <c r="E41" s="195"/>
      <c r="F41" s="195"/>
      <c r="G41" s="195"/>
      <c r="H41" s="84"/>
      <c r="I41" s="195"/>
      <c r="J41" s="195"/>
      <c r="K41" s="195"/>
      <c r="L41" s="84"/>
      <c r="M41" s="45">
        <v>16044.45</v>
      </c>
      <c r="N41" s="45">
        <f>M41-M40</f>
        <v>355.59000000000015</v>
      </c>
      <c r="O41" s="45">
        <f>(M41-M37)/12*13</f>
        <v>1282.9700000000007</v>
      </c>
      <c r="P41" s="84"/>
      <c r="Q41" s="45">
        <v>16932.45</v>
      </c>
      <c r="R41" s="45">
        <f>Q41-Q40</f>
        <v>355.59000000000015</v>
      </c>
      <c r="S41" s="45">
        <f>(Q41-Q37)/12*13</f>
        <v>1308.9700000000007</v>
      </c>
      <c r="T41" s="96"/>
    </row>
    <row r="42" spans="1:20" ht="12.75" customHeight="1" thickBo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</row>
  </sheetData>
  <sheetProtection/>
  <mergeCells count="6">
    <mergeCell ref="Q2:S2"/>
    <mergeCell ref="R3:S3"/>
    <mergeCell ref="I2:K2"/>
    <mergeCell ref="M2:O2"/>
    <mergeCell ref="J3:K3"/>
    <mergeCell ref="N3:O3"/>
  </mergeCells>
  <printOptions/>
  <pageMargins left="0.8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Funzione Pubblica CGIL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costituz ripartiz produtt 2006</dc:title>
  <dc:subject>incentivazione produttività</dc:subject>
  <dc:creator>Giancarlo Zenatti</dc:creator>
  <cp:keywords>cisl fps</cp:keywords>
  <dc:description/>
  <cp:lastModifiedBy>maurizio</cp:lastModifiedBy>
  <cp:lastPrinted>2017-11-29T14:11:26Z</cp:lastPrinted>
  <dcterms:created xsi:type="dcterms:W3CDTF">2003-11-13T08:13:02Z</dcterms:created>
  <dcterms:modified xsi:type="dcterms:W3CDTF">2017-11-29T14:41:56Z</dcterms:modified>
  <cp:category>enti locali</cp:category>
  <cp:version/>
  <cp:contentType/>
  <cp:contentStatus/>
</cp:coreProperties>
</file>